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F:\Planning\Program Design and Planning\1. Qualified Allocation Plan\2022-2023\AHFA\"/>
    </mc:Choice>
  </mc:AlternateContent>
  <xr:revisionPtr revIDLastSave="0" documentId="13_ncr:1_{A30E2E44-2B91-4E9D-B66E-8C046C0D90D4}" xr6:coauthVersionLast="47" xr6:coauthVersionMax="47" xr10:uidLastSave="{00000000-0000-0000-0000-000000000000}"/>
  <bookViews>
    <workbookView xWindow="-120" yWindow="-120" windowWidth="23280" windowHeight="12600" tabRatio="881" xr2:uid="{00000000-000D-0000-FFFF-FFFF00000000}"/>
  </bookViews>
  <sheets>
    <sheet name="Instructions" sheetId="1" r:id="rId1"/>
    <sheet name="Submission Requirements" sheetId="64" r:id="rId2"/>
    <sheet name="Transmittal" sheetId="20" r:id="rId3"/>
    <sheet name="Project Details" sheetId="16" r:id="rId4"/>
    <sheet name="Budget &amp; Costs" sheetId="3" r:id="rId5"/>
    <sheet name="Housing Credits" sheetId="5" r:id="rId6"/>
    <sheet name="Cashflow" sheetId="8" r:id="rId7"/>
    <sheet name="Development Team" sheetId="2" r:id="rId8"/>
    <sheet name="Experience&amp;Capacity" sheetId="10" r:id="rId9"/>
    <sheet name="Developer Fee" sheetId="37" r:id="rId10"/>
    <sheet name="Narratives" sheetId="21" r:id="rId11"/>
    <sheet name="Proposal Summary" sheetId="9" r:id="rId12"/>
    <sheet name="HDL+HDAP+MLP" sheetId="7" r:id="rId13"/>
    <sheet name="Multifamily Bonds" sheetId="11" state="hidden" r:id="rId14"/>
    <sheet name="Management Capacity " sheetId="56" r:id="rId15"/>
    <sheet name="Program Certification" sheetId="12" r:id="rId16"/>
    <sheet name="Scoring - NEW AFF BGF" sheetId="55" state="hidden" r:id="rId17"/>
    <sheet name="Scoring - PRES BGF" sheetId="53" state="hidden" r:id="rId18"/>
    <sheet name="Scoring - New Affordability-CC" sheetId="6" r:id="rId19"/>
    <sheet name="Scoring - New Affordability-MS" sheetId="74" r:id="rId20"/>
    <sheet name="Scoring - New Affordability-Rur" sheetId="75" r:id="rId21"/>
    <sheet name="Scoring - Preserved " sheetId="68" r:id="rId22"/>
    <sheet name="Service Enriched" sheetId="70" r:id="rId23"/>
    <sheet name="Unlocked#1" sheetId="49" r:id="rId24"/>
    <sheet name="Unlocked#2" sheetId="50" r:id="rId25"/>
    <sheet name="Data" sheetId="15" state="hidden" r:id="rId26"/>
    <sheet name="OHFADataExtract" sheetId="51" state="hidden" r:id="rId27"/>
    <sheet name="MLP Amortization" sheetId="73" state="hidden" r:id="rId28"/>
  </sheets>
  <definedNames>
    <definedName name="_xlnm.Print_Area" localSheetId="5">'Housing Credits'!$A$1:$N$75</definedName>
    <definedName name="_xlnm.Print_Area" localSheetId="0">Instructions!$A$1:$M$51</definedName>
    <definedName name="_xlnm.Print_Area" localSheetId="14">'Management Capacity '!$A$1:$I$136</definedName>
    <definedName name="_xlnm.Print_Area" localSheetId="13">'Multifamily Bonds'!$A$1:$L$81</definedName>
    <definedName name="_xlnm.Print_Area" localSheetId="15">'Program Certification'!$A$1:$P$44</definedName>
    <definedName name="_xlnm.Print_Area" localSheetId="16">'Scoring - NEW AFF BGF'!$A$1:$M$113</definedName>
    <definedName name="_xlnm.Print_Area" localSheetId="17">'Scoring - PRES BGF'!$A$1:$M$119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6" i="70" l="1"/>
  <c r="C208" i="6"/>
  <c r="C208" i="74"/>
  <c r="C139" i="74"/>
  <c r="C139" i="75"/>
  <c r="G14" i="16"/>
  <c r="C21" i="16" l="1"/>
  <c r="G15" i="16"/>
  <c r="G7" i="9" l="1"/>
  <c r="E44" i="16" l="1"/>
  <c r="E43" i="16"/>
  <c r="E42" i="16"/>
  <c r="E41" i="16"/>
  <c r="E40" i="16"/>
  <c r="E39" i="16"/>
  <c r="E38" i="16"/>
  <c r="E37" i="16"/>
  <c r="H55" i="70" l="1"/>
  <c r="C92" i="70"/>
  <c r="C93" i="70" s="1"/>
  <c r="A69" i="70" l="1"/>
  <c r="F61" i="70"/>
  <c r="C136" i="68"/>
  <c r="H110" i="68"/>
  <c r="H101" i="68"/>
  <c r="A103" i="68"/>
  <c r="F102" i="68" s="1"/>
  <c r="A120" i="68"/>
  <c r="H17" i="68" l="1"/>
  <c r="A136" i="75"/>
  <c r="C208" i="75"/>
  <c r="C201" i="75"/>
  <c r="C196" i="75"/>
  <c r="A191" i="75"/>
  <c r="C189" i="75"/>
  <c r="A185" i="75" s="1"/>
  <c r="C183" i="75"/>
  <c r="A176" i="75" s="1"/>
  <c r="C174" i="75"/>
  <c r="C171" i="75"/>
  <c r="A167" i="75"/>
  <c r="C165" i="75"/>
  <c r="A161" i="75" s="1"/>
  <c r="A159" i="75"/>
  <c r="A146" i="75"/>
  <c r="H134" i="75"/>
  <c r="C120" i="75"/>
  <c r="C119" i="75"/>
  <c r="A115" i="75"/>
  <c r="F114" i="75"/>
  <c r="H113" i="75"/>
  <c r="I112" i="75"/>
  <c r="C108" i="75"/>
  <c r="A105" i="75"/>
  <c r="F104" i="75"/>
  <c r="H103" i="75"/>
  <c r="C101" i="75"/>
  <c r="A97" i="75" s="1"/>
  <c r="C99" i="75"/>
  <c r="C95" i="75"/>
  <c r="A92" i="75" s="1"/>
  <c r="F91" i="75" s="1"/>
  <c r="H90" i="75"/>
  <c r="H72" i="75"/>
  <c r="F69" i="75"/>
  <c r="F68" i="75"/>
  <c r="F67" i="75"/>
  <c r="F66" i="75"/>
  <c r="F65" i="75"/>
  <c r="F64" i="75"/>
  <c r="F63" i="75"/>
  <c r="F70" i="75" s="1"/>
  <c r="A61" i="75" s="1"/>
  <c r="C53" i="75"/>
  <c r="A50" i="75" s="1"/>
  <c r="F49" i="75" s="1"/>
  <c r="I47" i="75" s="1"/>
  <c r="H48" i="75"/>
  <c r="C41" i="75"/>
  <c r="F22" i="75"/>
  <c r="H21" i="75"/>
  <c r="I20" i="75" s="1"/>
  <c r="C19" i="75"/>
  <c r="C17" i="75"/>
  <c r="C15" i="75"/>
  <c r="D15" i="75" s="1"/>
  <c r="C13" i="75"/>
  <c r="D13" i="75" s="1"/>
  <c r="C10" i="75"/>
  <c r="A4" i="75" s="1"/>
  <c r="C9" i="75"/>
  <c r="C8" i="75"/>
  <c r="D8" i="75" s="1"/>
  <c r="C6" i="75"/>
  <c r="A3" i="75"/>
  <c r="C165" i="74"/>
  <c r="A161" i="74" s="1"/>
  <c r="A136" i="74"/>
  <c r="C201" i="74"/>
  <c r="C196" i="74"/>
  <c r="C189" i="74"/>
  <c r="A185" i="74" s="1"/>
  <c r="C183" i="74"/>
  <c r="A176" i="74" s="1"/>
  <c r="C174" i="74"/>
  <c r="C171" i="74"/>
  <c r="A167" i="74"/>
  <c r="A159" i="74"/>
  <c r="A146" i="74"/>
  <c r="H134" i="74"/>
  <c r="C120" i="74"/>
  <c r="C119" i="74"/>
  <c r="A115" i="74"/>
  <c r="F114" i="74" s="1"/>
  <c r="H113" i="74"/>
  <c r="I112" i="74" s="1"/>
  <c r="C108" i="74"/>
  <c r="A105" i="74"/>
  <c r="F104" i="74" s="1"/>
  <c r="H103" i="74"/>
  <c r="I102" i="74" s="1"/>
  <c r="C101" i="74"/>
  <c r="C99" i="74"/>
  <c r="A97" i="74"/>
  <c r="C95" i="74"/>
  <c r="A92" i="74"/>
  <c r="F91" i="74"/>
  <c r="H90" i="74"/>
  <c r="H72" i="74"/>
  <c r="F69" i="74"/>
  <c r="F68" i="74"/>
  <c r="F67" i="74"/>
  <c r="F66" i="74"/>
  <c r="F65" i="74"/>
  <c r="F64" i="74"/>
  <c r="F63" i="74"/>
  <c r="C53" i="74"/>
  <c r="A50" i="74" s="1"/>
  <c r="H48" i="74"/>
  <c r="C41" i="74"/>
  <c r="F22" i="74"/>
  <c r="H21" i="74"/>
  <c r="I20" i="74"/>
  <c r="C19" i="74"/>
  <c r="C17" i="74"/>
  <c r="C15" i="74"/>
  <c r="D15" i="74" s="1"/>
  <c r="C13" i="74"/>
  <c r="D13" i="74" s="1"/>
  <c r="C10" i="74"/>
  <c r="A4" i="74" s="1"/>
  <c r="C9" i="74"/>
  <c r="C8" i="74"/>
  <c r="D8" i="74" s="1"/>
  <c r="C6" i="74"/>
  <c r="A3" i="74"/>
  <c r="H134" i="6"/>
  <c r="C201" i="6"/>
  <c r="C196" i="6"/>
  <c r="A159" i="6"/>
  <c r="I89" i="74" l="1"/>
  <c r="K202" i="75"/>
  <c r="C117" i="74"/>
  <c r="F70" i="74"/>
  <c r="A61" i="74" s="1"/>
  <c r="F49" i="74" s="1"/>
  <c r="I47" i="74" s="1"/>
  <c r="A191" i="74"/>
  <c r="I102" i="75"/>
  <c r="C117" i="75"/>
  <c r="D17" i="74"/>
  <c r="I89" i="75"/>
  <c r="D17" i="75"/>
  <c r="K202" i="74"/>
  <c r="A191" i="6"/>
  <c r="C189" i="6"/>
  <c r="A185" i="6" s="1"/>
  <c r="C183" i="6"/>
  <c r="A176" i="6" s="1"/>
  <c r="C165" i="6"/>
  <c r="C139" i="6"/>
  <c r="H113" i="6" l="1"/>
  <c r="C120" i="6"/>
  <c r="H103" i="6" l="1"/>
  <c r="A105" i="6"/>
  <c r="F104" i="6" s="1"/>
  <c r="C108" i="6"/>
  <c r="C101" i="6"/>
  <c r="A97" i="6" s="1"/>
  <c r="C95" i="6"/>
  <c r="C99" i="6"/>
  <c r="I102" i="6" l="1"/>
  <c r="C41" i="6"/>
  <c r="C16" i="37"/>
  <c r="C18" i="37"/>
  <c r="C19" i="6" l="1"/>
  <c r="C17" i="6" l="1"/>
  <c r="C6" i="6"/>
  <c r="N6" i="73" l="1"/>
  <c r="N5" i="73"/>
  <c r="K4" i="73"/>
  <c r="K3" i="73"/>
  <c r="F6" i="73"/>
  <c r="F5" i="73"/>
  <c r="C4" i="73"/>
  <c r="C3" i="73"/>
  <c r="D371" i="73" l="1"/>
  <c r="D375" i="73"/>
  <c r="D379" i="73"/>
  <c r="D383" i="73"/>
  <c r="D387" i="73"/>
  <c r="D391" i="73"/>
  <c r="D395" i="73"/>
  <c r="D399" i="73"/>
  <c r="D403" i="73"/>
  <c r="D407" i="73"/>
  <c r="D411" i="73"/>
  <c r="D415" i="73"/>
  <c r="D419" i="73"/>
  <c r="D423" i="73"/>
  <c r="D427" i="73"/>
  <c r="D431" i="73"/>
  <c r="D435" i="73"/>
  <c r="D439" i="73"/>
  <c r="D443" i="73"/>
  <c r="D447" i="73"/>
  <c r="D451" i="73"/>
  <c r="D455" i="73"/>
  <c r="D459" i="73"/>
  <c r="D463" i="73"/>
  <c r="D467" i="73"/>
  <c r="D471" i="73"/>
  <c r="D475" i="73"/>
  <c r="D479" i="73"/>
  <c r="D483" i="73"/>
  <c r="D487" i="73"/>
  <c r="D370" i="73"/>
  <c r="D394" i="73"/>
  <c r="D410" i="73"/>
  <c r="D426" i="73"/>
  <c r="D446" i="73"/>
  <c r="D462" i="73"/>
  <c r="D482" i="73"/>
  <c r="D374" i="73"/>
  <c r="D398" i="73"/>
  <c r="D422" i="73"/>
  <c r="D438" i="73"/>
  <c r="D458" i="73"/>
  <c r="D474" i="73"/>
  <c r="D372" i="73"/>
  <c r="D376" i="73"/>
  <c r="D380" i="73"/>
  <c r="D384" i="73"/>
  <c r="D388" i="73"/>
  <c r="D392" i="73"/>
  <c r="D396" i="73"/>
  <c r="D400" i="73"/>
  <c r="D404" i="73"/>
  <c r="D408" i="73"/>
  <c r="D412" i="73"/>
  <c r="D416" i="73"/>
  <c r="D420" i="73"/>
  <c r="D424" i="73"/>
  <c r="D428" i="73"/>
  <c r="D432" i="73"/>
  <c r="D436" i="73"/>
  <c r="D440" i="73"/>
  <c r="D444" i="73"/>
  <c r="D448" i="73"/>
  <c r="D452" i="73"/>
  <c r="D456" i="73"/>
  <c r="D460" i="73"/>
  <c r="D464" i="73"/>
  <c r="D468" i="73"/>
  <c r="D472" i="73"/>
  <c r="D476" i="73"/>
  <c r="D480" i="73"/>
  <c r="D484" i="73"/>
  <c r="D488" i="73"/>
  <c r="D382" i="73"/>
  <c r="D414" i="73"/>
  <c r="D442" i="73"/>
  <c r="D466" i="73"/>
  <c r="D486" i="73"/>
  <c r="D373" i="73"/>
  <c r="D377" i="73"/>
  <c r="D381" i="73"/>
  <c r="D385" i="73"/>
  <c r="D389" i="73"/>
  <c r="D393" i="73"/>
  <c r="D397" i="73"/>
  <c r="D401" i="73"/>
  <c r="D405" i="73"/>
  <c r="D409" i="73"/>
  <c r="D413" i="73"/>
  <c r="D417" i="73"/>
  <c r="D421" i="73"/>
  <c r="D425" i="73"/>
  <c r="D429" i="73"/>
  <c r="D433" i="73"/>
  <c r="D437" i="73"/>
  <c r="D441" i="73"/>
  <c r="D445" i="73"/>
  <c r="D449" i="73"/>
  <c r="D453" i="73"/>
  <c r="D457" i="73"/>
  <c r="D461" i="73"/>
  <c r="D465" i="73"/>
  <c r="D469" i="73"/>
  <c r="D473" i="73"/>
  <c r="D477" i="73"/>
  <c r="D481" i="73"/>
  <c r="D485" i="73"/>
  <c r="D489" i="73"/>
  <c r="D378" i="73"/>
  <c r="D390" i="73"/>
  <c r="D406" i="73"/>
  <c r="D430" i="73"/>
  <c r="D450" i="73"/>
  <c r="D470" i="73"/>
  <c r="D386" i="73"/>
  <c r="D402" i="73"/>
  <c r="D418" i="73"/>
  <c r="D434" i="73"/>
  <c r="D454" i="73"/>
  <c r="D478" i="73"/>
  <c r="L25" i="73"/>
  <c r="L188" i="73"/>
  <c r="L180" i="73"/>
  <c r="L172" i="73"/>
  <c r="L164" i="73"/>
  <c r="L156" i="73"/>
  <c r="L141" i="73"/>
  <c r="L113" i="73"/>
  <c r="L97" i="73"/>
  <c r="L81" i="73"/>
  <c r="L65" i="73"/>
  <c r="L49" i="73"/>
  <c r="L33" i="73"/>
  <c r="L17" i="73"/>
  <c r="L187" i="73"/>
  <c r="L179" i="73"/>
  <c r="L171" i="73"/>
  <c r="L159" i="73"/>
  <c r="L155" i="73"/>
  <c r="L148" i="73"/>
  <c r="L140" i="73"/>
  <c r="L125" i="73"/>
  <c r="L109" i="73"/>
  <c r="L93" i="73"/>
  <c r="L77" i="73"/>
  <c r="L61" i="73"/>
  <c r="L45" i="73"/>
  <c r="L29" i="73"/>
  <c r="L13" i="73"/>
  <c r="L184" i="73"/>
  <c r="L176" i="73"/>
  <c r="L168" i="73"/>
  <c r="L160" i="73"/>
  <c r="L149" i="73"/>
  <c r="L129" i="73"/>
  <c r="L183" i="73"/>
  <c r="L175" i="73"/>
  <c r="L167" i="73"/>
  <c r="L163" i="73"/>
  <c r="L186" i="73"/>
  <c r="L182" i="73"/>
  <c r="L178" i="73"/>
  <c r="L174" i="73"/>
  <c r="L170" i="73"/>
  <c r="L166" i="73"/>
  <c r="L162" i="73"/>
  <c r="L158" i="73"/>
  <c r="L153" i="73"/>
  <c r="L145" i="73"/>
  <c r="L137" i="73"/>
  <c r="L121" i="73"/>
  <c r="L105" i="73"/>
  <c r="L89" i="73"/>
  <c r="L73" i="73"/>
  <c r="L57" i="73"/>
  <c r="L41" i="73"/>
  <c r="K9" i="73"/>
  <c r="O9" i="73" s="1"/>
  <c r="T2" i="73" s="1"/>
  <c r="L11" i="73"/>
  <c r="L15" i="73"/>
  <c r="L19" i="73"/>
  <c r="L23" i="73"/>
  <c r="L27" i="73"/>
  <c r="L31" i="73"/>
  <c r="L35" i="73"/>
  <c r="L39" i="73"/>
  <c r="L43" i="73"/>
  <c r="L47" i="73"/>
  <c r="L51" i="73"/>
  <c r="L55" i="73"/>
  <c r="L59" i="73"/>
  <c r="L63" i="73"/>
  <c r="L67" i="73"/>
  <c r="L71" i="73"/>
  <c r="L75" i="73"/>
  <c r="L79" i="73"/>
  <c r="L83" i="73"/>
  <c r="L87" i="73"/>
  <c r="L91" i="73"/>
  <c r="L95" i="73"/>
  <c r="L99" i="73"/>
  <c r="L103" i="73"/>
  <c r="L107" i="73"/>
  <c r="L111" i="73"/>
  <c r="L115" i="73"/>
  <c r="L119" i="73"/>
  <c r="L123" i="73"/>
  <c r="L127" i="73"/>
  <c r="L131" i="73"/>
  <c r="L135" i="73"/>
  <c r="L139" i="73"/>
  <c r="L143" i="73"/>
  <c r="L147" i="73"/>
  <c r="L151" i="73"/>
  <c r="L12" i="73"/>
  <c r="L16" i="73"/>
  <c r="L20" i="73"/>
  <c r="L24" i="73"/>
  <c r="L28" i="73"/>
  <c r="L32" i="73"/>
  <c r="L36" i="73"/>
  <c r="L40" i="73"/>
  <c r="L44" i="73"/>
  <c r="L48" i="73"/>
  <c r="L52" i="73"/>
  <c r="L56" i="73"/>
  <c r="L60" i="73"/>
  <c r="L64" i="73"/>
  <c r="L68" i="73"/>
  <c r="L72" i="73"/>
  <c r="L76" i="73"/>
  <c r="L80" i="73"/>
  <c r="L84" i="73"/>
  <c r="L88" i="73"/>
  <c r="L92" i="73"/>
  <c r="L96" i="73"/>
  <c r="L100" i="73"/>
  <c r="L104" i="73"/>
  <c r="L108" i="73"/>
  <c r="L112" i="73"/>
  <c r="L116" i="73"/>
  <c r="L120" i="73"/>
  <c r="L124" i="73"/>
  <c r="L128" i="73"/>
  <c r="L132" i="73"/>
  <c r="L136" i="73"/>
  <c r="L14" i="73"/>
  <c r="L18" i="73"/>
  <c r="L22" i="73"/>
  <c r="L26" i="73"/>
  <c r="L30" i="73"/>
  <c r="L34" i="73"/>
  <c r="L38" i="73"/>
  <c r="L42" i="73"/>
  <c r="L46" i="73"/>
  <c r="L50" i="73"/>
  <c r="L54" i="73"/>
  <c r="L58" i="73"/>
  <c r="L62" i="73"/>
  <c r="L66" i="73"/>
  <c r="L70" i="73"/>
  <c r="L74" i="73"/>
  <c r="L78" i="73"/>
  <c r="L82" i="73"/>
  <c r="L86" i="73"/>
  <c r="L90" i="73"/>
  <c r="L94" i="73"/>
  <c r="L98" i="73"/>
  <c r="L102" i="73"/>
  <c r="L106" i="73"/>
  <c r="L110" i="73"/>
  <c r="L114" i="73"/>
  <c r="L118" i="73"/>
  <c r="L122" i="73"/>
  <c r="L126" i="73"/>
  <c r="L130" i="73"/>
  <c r="L134" i="73"/>
  <c r="L138" i="73"/>
  <c r="L142" i="73"/>
  <c r="L146" i="73"/>
  <c r="L150" i="73"/>
  <c r="L154" i="73"/>
  <c r="L189" i="73"/>
  <c r="L185" i="73"/>
  <c r="L181" i="73"/>
  <c r="L177" i="73"/>
  <c r="L173" i="73"/>
  <c r="L169" i="73"/>
  <c r="L165" i="73"/>
  <c r="L161" i="73"/>
  <c r="L157" i="73"/>
  <c r="L152" i="73"/>
  <c r="L144" i="73"/>
  <c r="L133" i="73"/>
  <c r="L117" i="73"/>
  <c r="L101" i="73"/>
  <c r="L85" i="73"/>
  <c r="L69" i="73"/>
  <c r="L53" i="73"/>
  <c r="L37" i="73"/>
  <c r="L21" i="73"/>
  <c r="D341" i="73"/>
  <c r="K5" i="73"/>
  <c r="D349" i="73"/>
  <c r="D277" i="73"/>
  <c r="D129" i="73"/>
  <c r="D245" i="73"/>
  <c r="D309" i="73"/>
  <c r="D229" i="73"/>
  <c r="D357" i="73"/>
  <c r="D293" i="73"/>
  <c r="D197" i="73"/>
  <c r="C9" i="73"/>
  <c r="G9" i="73" s="1"/>
  <c r="S2" i="73" s="1"/>
  <c r="D365" i="73"/>
  <c r="D325" i="73"/>
  <c r="D261" i="73"/>
  <c r="D165" i="73"/>
  <c r="F3" i="73"/>
  <c r="D356" i="73"/>
  <c r="D337" i="73"/>
  <c r="D305" i="73"/>
  <c r="D273" i="73"/>
  <c r="D241" i="73"/>
  <c r="D181" i="73"/>
  <c r="D107" i="73"/>
  <c r="D97" i="73"/>
  <c r="D364" i="73"/>
  <c r="D348" i="73"/>
  <c r="D321" i="73"/>
  <c r="D289" i="73"/>
  <c r="D257" i="73"/>
  <c r="D213" i="73"/>
  <c r="D149" i="73"/>
  <c r="D225" i="73"/>
  <c r="D209" i="73"/>
  <c r="D193" i="73"/>
  <c r="D177" i="73"/>
  <c r="D161" i="73"/>
  <c r="D145" i="73"/>
  <c r="D123" i="73"/>
  <c r="D102" i="73"/>
  <c r="D369" i="73"/>
  <c r="D361" i="73"/>
  <c r="D353" i="73"/>
  <c r="D345" i="73"/>
  <c r="D333" i="73"/>
  <c r="D317" i="73"/>
  <c r="D301" i="73"/>
  <c r="D285" i="73"/>
  <c r="D269" i="73"/>
  <c r="D253" i="73"/>
  <c r="D237" i="73"/>
  <c r="D221" i="73"/>
  <c r="D205" i="73"/>
  <c r="D189" i="73"/>
  <c r="D173" i="73"/>
  <c r="D157" i="73"/>
  <c r="D139" i="73"/>
  <c r="D118" i="73"/>
  <c r="D12" i="73"/>
  <c r="D16" i="73"/>
  <c r="D20" i="73"/>
  <c r="D24" i="73"/>
  <c r="D28" i="73"/>
  <c r="D32" i="73"/>
  <c r="D36" i="73"/>
  <c r="D40" i="73"/>
  <c r="D44" i="73"/>
  <c r="D48" i="73"/>
  <c r="D52" i="73"/>
  <c r="D56" i="73"/>
  <c r="D60" i="73"/>
  <c r="D64" i="73"/>
  <c r="D68" i="73"/>
  <c r="D72" i="73"/>
  <c r="D76" i="73"/>
  <c r="D80" i="73"/>
  <c r="D84" i="73"/>
  <c r="D88" i="73"/>
  <c r="D92" i="73"/>
  <c r="D96" i="73"/>
  <c r="D100" i="73"/>
  <c r="D104" i="73"/>
  <c r="D108" i="73"/>
  <c r="D112" i="73"/>
  <c r="D116" i="73"/>
  <c r="D120" i="73"/>
  <c r="D124" i="73"/>
  <c r="D128" i="73"/>
  <c r="D132" i="73"/>
  <c r="D136" i="73"/>
  <c r="D140" i="73"/>
  <c r="D144" i="73"/>
  <c r="D11" i="73"/>
  <c r="D17" i="73"/>
  <c r="D22" i="73"/>
  <c r="D27" i="73"/>
  <c r="D33" i="73"/>
  <c r="D38" i="73"/>
  <c r="D43" i="73"/>
  <c r="D49" i="73"/>
  <c r="D54" i="73"/>
  <c r="D59" i="73"/>
  <c r="D65" i="73"/>
  <c r="D70" i="73"/>
  <c r="D75" i="73"/>
  <c r="D81" i="73"/>
  <c r="D86" i="73"/>
  <c r="D91" i="73"/>
  <c r="D13" i="73"/>
  <c r="D18" i="73"/>
  <c r="D23" i="73"/>
  <c r="D29" i="73"/>
  <c r="D34" i="73"/>
  <c r="D39" i="73"/>
  <c r="D45" i="73"/>
  <c r="D50" i="73"/>
  <c r="D55" i="73"/>
  <c r="D61" i="73"/>
  <c r="D66" i="73"/>
  <c r="D71" i="73"/>
  <c r="D77" i="73"/>
  <c r="D82" i="73"/>
  <c r="D87" i="73"/>
  <c r="D93" i="73"/>
  <c r="D98" i="73"/>
  <c r="D103" i="73"/>
  <c r="D109" i="73"/>
  <c r="D114" i="73"/>
  <c r="D119" i="73"/>
  <c r="D125" i="73"/>
  <c r="D130" i="73"/>
  <c r="D135" i="73"/>
  <c r="D141" i="73"/>
  <c r="D146" i="73"/>
  <c r="D150" i="73"/>
  <c r="D154" i="73"/>
  <c r="D158" i="73"/>
  <c r="D162" i="73"/>
  <c r="D166" i="73"/>
  <c r="D170" i="73"/>
  <c r="D174" i="73"/>
  <c r="D178" i="73"/>
  <c r="D182" i="73"/>
  <c r="D186" i="73"/>
  <c r="D190" i="73"/>
  <c r="D194" i="73"/>
  <c r="D198" i="73"/>
  <c r="D202" i="73"/>
  <c r="D206" i="73"/>
  <c r="D210" i="73"/>
  <c r="D214" i="73"/>
  <c r="D218" i="73"/>
  <c r="D222" i="73"/>
  <c r="D226" i="73"/>
  <c r="D230" i="73"/>
  <c r="D234" i="73"/>
  <c r="D238" i="73"/>
  <c r="D242" i="73"/>
  <c r="D246" i="73"/>
  <c r="D250" i="73"/>
  <c r="D254" i="73"/>
  <c r="D258" i="73"/>
  <c r="D262" i="73"/>
  <c r="D266" i="73"/>
  <c r="D270" i="73"/>
  <c r="D274" i="73"/>
  <c r="D278" i="73"/>
  <c r="D282" i="73"/>
  <c r="D286" i="73"/>
  <c r="D290" i="73"/>
  <c r="D294" i="73"/>
  <c r="D298" i="73"/>
  <c r="D302" i="73"/>
  <c r="D306" i="73"/>
  <c r="D310" i="73"/>
  <c r="D314" i="73"/>
  <c r="D318" i="73"/>
  <c r="D322" i="73"/>
  <c r="D326" i="73"/>
  <c r="D330" i="73"/>
  <c r="D334" i="73"/>
  <c r="D338" i="73"/>
  <c r="D342" i="73"/>
  <c r="D346" i="73"/>
  <c r="D350" i="73"/>
  <c r="D354" i="73"/>
  <c r="D358" i="73"/>
  <c r="D362" i="73"/>
  <c r="D366" i="73"/>
  <c r="D10" i="73"/>
  <c r="D14" i="73"/>
  <c r="D19" i="73"/>
  <c r="D25" i="73"/>
  <c r="D30" i="73"/>
  <c r="D35" i="73"/>
  <c r="D41" i="73"/>
  <c r="D46" i="73"/>
  <c r="D51" i="73"/>
  <c r="D57" i="73"/>
  <c r="D62" i="73"/>
  <c r="D67" i="73"/>
  <c r="D73" i="73"/>
  <c r="D78" i="73"/>
  <c r="D83" i="73"/>
  <c r="D89" i="73"/>
  <c r="D94" i="73"/>
  <c r="D99" i="73"/>
  <c r="D105" i="73"/>
  <c r="D110" i="73"/>
  <c r="D115" i="73"/>
  <c r="D121" i="73"/>
  <c r="D126" i="73"/>
  <c r="D131" i="73"/>
  <c r="D137" i="73"/>
  <c r="D142" i="73"/>
  <c r="D147" i="73"/>
  <c r="D151" i="73"/>
  <c r="D155" i="73"/>
  <c r="D159" i="73"/>
  <c r="D163" i="73"/>
  <c r="D167" i="73"/>
  <c r="D171" i="73"/>
  <c r="D175" i="73"/>
  <c r="D179" i="73"/>
  <c r="D183" i="73"/>
  <c r="D187" i="73"/>
  <c r="D191" i="73"/>
  <c r="D195" i="73"/>
  <c r="D199" i="73"/>
  <c r="D203" i="73"/>
  <c r="D207" i="73"/>
  <c r="D211" i="73"/>
  <c r="D215" i="73"/>
  <c r="D219" i="73"/>
  <c r="D223" i="73"/>
  <c r="D227" i="73"/>
  <c r="D231" i="73"/>
  <c r="D235" i="73"/>
  <c r="D239" i="73"/>
  <c r="D243" i="73"/>
  <c r="D247" i="73"/>
  <c r="D251" i="73"/>
  <c r="D255" i="73"/>
  <c r="D259" i="73"/>
  <c r="D263" i="73"/>
  <c r="D267" i="73"/>
  <c r="D271" i="73"/>
  <c r="D275" i="73"/>
  <c r="D279" i="73"/>
  <c r="D283" i="73"/>
  <c r="D287" i="73"/>
  <c r="D291" i="73"/>
  <c r="D295" i="73"/>
  <c r="D299" i="73"/>
  <c r="D303" i="73"/>
  <c r="D307" i="73"/>
  <c r="D311" i="73"/>
  <c r="D315" i="73"/>
  <c r="D319" i="73"/>
  <c r="D323" i="73"/>
  <c r="D327" i="73"/>
  <c r="D331" i="73"/>
  <c r="D335" i="73"/>
  <c r="D339" i="73"/>
  <c r="D343" i="73"/>
  <c r="D347" i="73"/>
  <c r="D351" i="73"/>
  <c r="D355" i="73"/>
  <c r="D359" i="73"/>
  <c r="D363" i="73"/>
  <c r="D367" i="73"/>
  <c r="D15" i="73"/>
  <c r="D21" i="73"/>
  <c r="D26" i="73"/>
  <c r="D31" i="73"/>
  <c r="D37" i="73"/>
  <c r="D42" i="73"/>
  <c r="D47" i="73"/>
  <c r="D53" i="73"/>
  <c r="D58" i="73"/>
  <c r="D63" i="73"/>
  <c r="D69" i="73"/>
  <c r="D74" i="73"/>
  <c r="D79" i="73"/>
  <c r="D85" i="73"/>
  <c r="D90" i="73"/>
  <c r="D95" i="73"/>
  <c r="D101" i="73"/>
  <c r="D106" i="73"/>
  <c r="D111" i="73"/>
  <c r="D117" i="73"/>
  <c r="D122" i="73"/>
  <c r="D127" i="73"/>
  <c r="D133" i="73"/>
  <c r="D138" i="73"/>
  <c r="D143" i="73"/>
  <c r="D148" i="73"/>
  <c r="D152" i="73"/>
  <c r="D156" i="73"/>
  <c r="D160" i="73"/>
  <c r="D164" i="73"/>
  <c r="D168" i="73"/>
  <c r="D172" i="73"/>
  <c r="D176" i="73"/>
  <c r="D180" i="73"/>
  <c r="D184" i="73"/>
  <c r="D188" i="73"/>
  <c r="D192" i="73"/>
  <c r="D196" i="73"/>
  <c r="D200" i="73"/>
  <c r="D204" i="73"/>
  <c r="D208" i="73"/>
  <c r="D212" i="73"/>
  <c r="D216" i="73"/>
  <c r="D220" i="73"/>
  <c r="D224" i="73"/>
  <c r="D228" i="73"/>
  <c r="D232" i="73"/>
  <c r="D236" i="73"/>
  <c r="D240" i="73"/>
  <c r="D244" i="73"/>
  <c r="D248" i="73"/>
  <c r="D252" i="73"/>
  <c r="D256" i="73"/>
  <c r="D260" i="73"/>
  <c r="D264" i="73"/>
  <c r="D268" i="73"/>
  <c r="D272" i="73"/>
  <c r="D276" i="73"/>
  <c r="D280" i="73"/>
  <c r="D284" i="73"/>
  <c r="D288" i="73"/>
  <c r="D292" i="73"/>
  <c r="D296" i="73"/>
  <c r="D300" i="73"/>
  <c r="D304" i="73"/>
  <c r="D308" i="73"/>
  <c r="D312" i="73"/>
  <c r="D316" i="73"/>
  <c r="D320" i="73"/>
  <c r="D324" i="73"/>
  <c r="D328" i="73"/>
  <c r="D332" i="73"/>
  <c r="D336" i="73"/>
  <c r="D340" i="73"/>
  <c r="D368" i="73"/>
  <c r="D360" i="73"/>
  <c r="D352" i="73"/>
  <c r="D344" i="73"/>
  <c r="D329" i="73"/>
  <c r="D313" i="73"/>
  <c r="D297" i="73"/>
  <c r="D281" i="73"/>
  <c r="D265" i="73"/>
  <c r="D249" i="73"/>
  <c r="D233" i="73"/>
  <c r="D217" i="73"/>
  <c r="D201" i="73"/>
  <c r="D185" i="73"/>
  <c r="D169" i="73"/>
  <c r="D153" i="73"/>
  <c r="D134" i="73"/>
  <c r="D113" i="73"/>
  <c r="L10" i="73"/>
  <c r="N3" i="73"/>
  <c r="G74" i="3"/>
  <c r="G73" i="3"/>
  <c r="G65" i="3"/>
  <c r="G64" i="3"/>
  <c r="F11" i="73" l="1"/>
  <c r="F483" i="73"/>
  <c r="E483" i="73" s="1"/>
  <c r="F380" i="73"/>
  <c r="E380" i="73" s="1"/>
  <c r="F404" i="73"/>
  <c r="E404" i="73" s="1"/>
  <c r="F416" i="73"/>
  <c r="E416" i="73" s="1"/>
  <c r="F428" i="73"/>
  <c r="E428" i="73" s="1"/>
  <c r="F440" i="73"/>
  <c r="E440" i="73" s="1"/>
  <c r="F452" i="73"/>
  <c r="E452" i="73" s="1"/>
  <c r="F460" i="73"/>
  <c r="E460" i="73" s="1"/>
  <c r="F472" i="73"/>
  <c r="E472" i="73" s="1"/>
  <c r="F484" i="73"/>
  <c r="E484" i="73" s="1"/>
  <c r="F437" i="73"/>
  <c r="E437" i="73" s="1"/>
  <c r="F457" i="73"/>
  <c r="E457" i="73" s="1"/>
  <c r="F477" i="73"/>
  <c r="E477" i="73" s="1"/>
  <c r="F374" i="73"/>
  <c r="E374" i="73" s="1"/>
  <c r="F394" i="73"/>
  <c r="E394" i="73" s="1"/>
  <c r="F414" i="73"/>
  <c r="E414" i="73" s="1"/>
  <c r="F434" i="73"/>
  <c r="E434" i="73" s="1"/>
  <c r="F454" i="73"/>
  <c r="E454" i="73" s="1"/>
  <c r="F474" i="73"/>
  <c r="E474" i="73" s="1"/>
  <c r="F371" i="73"/>
  <c r="E371" i="73" s="1"/>
  <c r="F375" i="73"/>
  <c r="E375" i="73" s="1"/>
  <c r="F379" i="73"/>
  <c r="E379" i="73" s="1"/>
  <c r="F383" i="73"/>
  <c r="E383" i="73" s="1"/>
  <c r="F387" i="73"/>
  <c r="E387" i="73" s="1"/>
  <c r="F391" i="73"/>
  <c r="E391" i="73" s="1"/>
  <c r="F395" i="73"/>
  <c r="E395" i="73" s="1"/>
  <c r="F399" i="73"/>
  <c r="E399" i="73" s="1"/>
  <c r="F403" i="73"/>
  <c r="E403" i="73" s="1"/>
  <c r="F407" i="73"/>
  <c r="E407" i="73" s="1"/>
  <c r="F411" i="73"/>
  <c r="E411" i="73" s="1"/>
  <c r="F415" i="73"/>
  <c r="E415" i="73" s="1"/>
  <c r="F419" i="73"/>
  <c r="E419" i="73" s="1"/>
  <c r="F423" i="73"/>
  <c r="E423" i="73" s="1"/>
  <c r="F427" i="73"/>
  <c r="E427" i="73" s="1"/>
  <c r="F431" i="73"/>
  <c r="E431" i="73" s="1"/>
  <c r="F435" i="73"/>
  <c r="E435" i="73" s="1"/>
  <c r="F439" i="73"/>
  <c r="E439" i="73" s="1"/>
  <c r="F443" i="73"/>
  <c r="E443" i="73" s="1"/>
  <c r="F447" i="73"/>
  <c r="E447" i="73" s="1"/>
  <c r="F451" i="73"/>
  <c r="E451" i="73" s="1"/>
  <c r="F455" i="73"/>
  <c r="E455" i="73" s="1"/>
  <c r="F459" i="73"/>
  <c r="E459" i="73" s="1"/>
  <c r="F463" i="73"/>
  <c r="E463" i="73" s="1"/>
  <c r="F467" i="73"/>
  <c r="E467" i="73" s="1"/>
  <c r="F471" i="73"/>
  <c r="E471" i="73" s="1"/>
  <c r="F475" i="73"/>
  <c r="E475" i="73" s="1"/>
  <c r="F479" i="73"/>
  <c r="E479" i="73" s="1"/>
  <c r="F487" i="73"/>
  <c r="E487" i="73" s="1"/>
  <c r="F376" i="73"/>
  <c r="E376" i="73" s="1"/>
  <c r="F396" i="73"/>
  <c r="E396" i="73" s="1"/>
  <c r="F412" i="73"/>
  <c r="E412" i="73" s="1"/>
  <c r="F424" i="73"/>
  <c r="E424" i="73" s="1"/>
  <c r="F436" i="73"/>
  <c r="E436" i="73" s="1"/>
  <c r="F448" i="73"/>
  <c r="E448" i="73" s="1"/>
  <c r="F464" i="73"/>
  <c r="E464" i="73" s="1"/>
  <c r="F480" i="73"/>
  <c r="E480" i="73" s="1"/>
  <c r="F445" i="73"/>
  <c r="E445" i="73" s="1"/>
  <c r="F461" i="73"/>
  <c r="E461" i="73" s="1"/>
  <c r="F481" i="73"/>
  <c r="E481" i="73" s="1"/>
  <c r="F370" i="73"/>
  <c r="E370" i="73" s="1"/>
  <c r="F390" i="73"/>
  <c r="E390" i="73" s="1"/>
  <c r="F406" i="73"/>
  <c r="E406" i="73" s="1"/>
  <c r="F426" i="73"/>
  <c r="E426" i="73" s="1"/>
  <c r="F450" i="73"/>
  <c r="E450" i="73" s="1"/>
  <c r="F470" i="73"/>
  <c r="E470" i="73" s="1"/>
  <c r="F372" i="73"/>
  <c r="E372" i="73" s="1"/>
  <c r="F384" i="73"/>
  <c r="E384" i="73" s="1"/>
  <c r="F388" i="73"/>
  <c r="E388" i="73" s="1"/>
  <c r="F392" i="73"/>
  <c r="E392" i="73" s="1"/>
  <c r="F400" i="73"/>
  <c r="E400" i="73" s="1"/>
  <c r="F408" i="73"/>
  <c r="E408" i="73" s="1"/>
  <c r="F420" i="73"/>
  <c r="E420" i="73" s="1"/>
  <c r="F432" i="73"/>
  <c r="E432" i="73" s="1"/>
  <c r="F444" i="73"/>
  <c r="E444" i="73" s="1"/>
  <c r="F456" i="73"/>
  <c r="E456" i="73" s="1"/>
  <c r="F468" i="73"/>
  <c r="E468" i="73" s="1"/>
  <c r="F476" i="73"/>
  <c r="E476" i="73" s="1"/>
  <c r="F488" i="73"/>
  <c r="E488" i="73" s="1"/>
  <c r="F453" i="73"/>
  <c r="E453" i="73" s="1"/>
  <c r="F469" i="73"/>
  <c r="E469" i="73" s="1"/>
  <c r="F489" i="73"/>
  <c r="E489" i="73" s="1"/>
  <c r="F386" i="73"/>
  <c r="E386" i="73" s="1"/>
  <c r="F418" i="73"/>
  <c r="E418" i="73" s="1"/>
  <c r="F438" i="73"/>
  <c r="E438" i="73" s="1"/>
  <c r="F458" i="73"/>
  <c r="E458" i="73" s="1"/>
  <c r="F482" i="73"/>
  <c r="E482" i="73" s="1"/>
  <c r="F377" i="73"/>
  <c r="E377" i="73" s="1"/>
  <c r="F389" i="73"/>
  <c r="E389" i="73" s="1"/>
  <c r="F397" i="73"/>
  <c r="E397" i="73" s="1"/>
  <c r="F405" i="73"/>
  <c r="E405" i="73" s="1"/>
  <c r="F409" i="73"/>
  <c r="E409" i="73" s="1"/>
  <c r="F417" i="73"/>
  <c r="E417" i="73" s="1"/>
  <c r="F425" i="73"/>
  <c r="E425" i="73" s="1"/>
  <c r="F433" i="73"/>
  <c r="E433" i="73" s="1"/>
  <c r="F449" i="73"/>
  <c r="E449" i="73" s="1"/>
  <c r="F465" i="73"/>
  <c r="E465" i="73" s="1"/>
  <c r="F485" i="73"/>
  <c r="E485" i="73" s="1"/>
  <c r="F382" i="73"/>
  <c r="E382" i="73" s="1"/>
  <c r="F402" i="73"/>
  <c r="E402" i="73" s="1"/>
  <c r="F422" i="73"/>
  <c r="E422" i="73" s="1"/>
  <c r="F442" i="73"/>
  <c r="E442" i="73" s="1"/>
  <c r="F462" i="73"/>
  <c r="E462" i="73" s="1"/>
  <c r="F478" i="73"/>
  <c r="E478" i="73" s="1"/>
  <c r="F373" i="73"/>
  <c r="E373" i="73" s="1"/>
  <c r="F381" i="73"/>
  <c r="E381" i="73" s="1"/>
  <c r="F385" i="73"/>
  <c r="E385" i="73" s="1"/>
  <c r="F393" i="73"/>
  <c r="E393" i="73" s="1"/>
  <c r="F401" i="73"/>
  <c r="E401" i="73" s="1"/>
  <c r="F413" i="73"/>
  <c r="E413" i="73" s="1"/>
  <c r="F421" i="73"/>
  <c r="E421" i="73" s="1"/>
  <c r="F429" i="73"/>
  <c r="E429" i="73" s="1"/>
  <c r="F441" i="73"/>
  <c r="E441" i="73" s="1"/>
  <c r="F473" i="73"/>
  <c r="E473" i="73" s="1"/>
  <c r="F378" i="73"/>
  <c r="E378" i="73" s="1"/>
  <c r="F398" i="73"/>
  <c r="E398" i="73" s="1"/>
  <c r="F410" i="73"/>
  <c r="E410" i="73" s="1"/>
  <c r="F430" i="73"/>
  <c r="E430" i="73" s="1"/>
  <c r="F446" i="73"/>
  <c r="E446" i="73" s="1"/>
  <c r="F466" i="73"/>
  <c r="E466" i="73" s="1"/>
  <c r="F486" i="73"/>
  <c r="E486" i="73" s="1"/>
  <c r="F248" i="73"/>
  <c r="E248" i="73" s="1"/>
  <c r="F241" i="73"/>
  <c r="E241" i="73" s="1"/>
  <c r="F220" i="73"/>
  <c r="F221" i="73"/>
  <c r="E221" i="73" s="1"/>
  <c r="F301" i="73"/>
  <c r="F185" i="73"/>
  <c r="F42" i="73"/>
  <c r="E42" i="73" s="1"/>
  <c r="F359" i="73"/>
  <c r="E359" i="73" s="1"/>
  <c r="F349" i="73"/>
  <c r="E349" i="73" s="1"/>
  <c r="F57" i="73"/>
  <c r="F92" i="73"/>
  <c r="E92" i="73" s="1"/>
  <c r="F338" i="73"/>
  <c r="E338" i="73" s="1"/>
  <c r="F41" i="73"/>
  <c r="E41" i="73" s="1"/>
  <c r="F353" i="73"/>
  <c r="E353" i="73" s="1"/>
  <c r="F116" i="73"/>
  <c r="E116" i="73" s="1"/>
  <c r="F267" i="73"/>
  <c r="E267" i="73" s="1"/>
  <c r="F156" i="73"/>
  <c r="E156" i="73" s="1"/>
  <c r="F253" i="73"/>
  <c r="E253" i="73" s="1"/>
  <c r="F170" i="73"/>
  <c r="E170" i="73" s="1"/>
  <c r="F166" i="73"/>
  <c r="E166" i="73" s="1"/>
  <c r="F149" i="73"/>
  <c r="F184" i="73"/>
  <c r="E184" i="73" s="1"/>
  <c r="F363" i="73"/>
  <c r="E363" i="73" s="1"/>
  <c r="F245" i="73"/>
  <c r="E245" i="73" s="1"/>
  <c r="F323" i="73"/>
  <c r="E323" i="73" s="1"/>
  <c r="F55" i="73"/>
  <c r="E55" i="73" s="1"/>
  <c r="F115" i="73"/>
  <c r="F325" i="73"/>
  <c r="E325" i="73" s="1"/>
  <c r="F183" i="73"/>
  <c r="E183" i="73" s="1"/>
  <c r="F297" i="73"/>
  <c r="E297" i="73" s="1"/>
  <c r="F348" i="73"/>
  <c r="E348" i="73" s="1"/>
  <c r="F61" i="73"/>
  <c r="E61" i="73" s="1"/>
  <c r="F239" i="73"/>
  <c r="E239" i="73" s="1"/>
  <c r="F352" i="73"/>
  <c r="E352" i="73" s="1"/>
  <c r="F238" i="73"/>
  <c r="E238" i="73" s="1"/>
  <c r="F312" i="73"/>
  <c r="E312" i="73" s="1"/>
  <c r="F75" i="73"/>
  <c r="E75" i="73" s="1"/>
  <c r="F229" i="73"/>
  <c r="E229" i="73" s="1"/>
  <c r="F326" i="73"/>
  <c r="E326" i="73" s="1"/>
  <c r="F211" i="73"/>
  <c r="E211" i="73" s="1"/>
  <c r="F284" i="73"/>
  <c r="E284" i="73" s="1"/>
  <c r="F32" i="73"/>
  <c r="E32" i="73" s="1"/>
  <c r="F64" i="73"/>
  <c r="E64" i="73" s="1"/>
  <c r="F14" i="73"/>
  <c r="E14" i="73" s="1"/>
  <c r="F46" i="73"/>
  <c r="E46" i="73" s="1"/>
  <c r="F78" i="73"/>
  <c r="E78" i="73" s="1"/>
  <c r="F110" i="73"/>
  <c r="E110" i="73" s="1"/>
  <c r="F19" i="73"/>
  <c r="E19" i="73" s="1"/>
  <c r="F83" i="73"/>
  <c r="E83" i="73" s="1"/>
  <c r="F129" i="73"/>
  <c r="E129" i="73" s="1"/>
  <c r="F163" i="73"/>
  <c r="E163" i="73" s="1"/>
  <c r="F69" i="73"/>
  <c r="E69" i="73" s="1"/>
  <c r="F12" i="73"/>
  <c r="E12" i="73" s="1"/>
  <c r="F44" i="73"/>
  <c r="E44" i="73" s="1"/>
  <c r="F76" i="73"/>
  <c r="E76" i="73" s="1"/>
  <c r="F26" i="73"/>
  <c r="E26" i="73" s="1"/>
  <c r="F58" i="73"/>
  <c r="E58" i="73" s="1"/>
  <c r="F90" i="73"/>
  <c r="E90" i="73" s="1"/>
  <c r="F122" i="73"/>
  <c r="E122" i="73" s="1"/>
  <c r="F43" i="73"/>
  <c r="E43" i="73" s="1"/>
  <c r="F103" i="73"/>
  <c r="E103" i="73" s="1"/>
  <c r="F143" i="73"/>
  <c r="E143" i="73" s="1"/>
  <c r="F29" i="73"/>
  <c r="E29" i="73" s="1"/>
  <c r="F93" i="73"/>
  <c r="E93" i="73" s="1"/>
  <c r="F136" i="73"/>
  <c r="E136" i="73" s="1"/>
  <c r="F168" i="73"/>
  <c r="E168" i="73" s="1"/>
  <c r="F200" i="73"/>
  <c r="E200" i="73" s="1"/>
  <c r="F232" i="73"/>
  <c r="E232" i="73" s="1"/>
  <c r="F264" i="73"/>
  <c r="E264" i="73" s="1"/>
  <c r="F296" i="73"/>
  <c r="E296" i="73" s="1"/>
  <c r="F328" i="73"/>
  <c r="E328" i="73" s="1"/>
  <c r="F23" i="73"/>
  <c r="E23" i="73" s="1"/>
  <c r="F87" i="73"/>
  <c r="E87" i="73" s="1"/>
  <c r="F132" i="73"/>
  <c r="E132" i="73" s="1"/>
  <c r="F165" i="73"/>
  <c r="E165" i="73" s="1"/>
  <c r="F197" i="73"/>
  <c r="E197" i="73" s="1"/>
  <c r="F142" i="73"/>
  <c r="E142" i="73" s="1"/>
  <c r="F217" i="73"/>
  <c r="E217" i="73" s="1"/>
  <c r="F259" i="73"/>
  <c r="E259" i="73" s="1"/>
  <c r="F302" i="73"/>
  <c r="E302" i="73" s="1"/>
  <c r="F345" i="73"/>
  <c r="E345" i="73" s="1"/>
  <c r="F89" i="73"/>
  <c r="E89" i="73" s="1"/>
  <c r="F202" i="73"/>
  <c r="E202" i="73" s="1"/>
  <c r="F246" i="73"/>
  <c r="E246" i="73" s="1"/>
  <c r="F289" i="73"/>
  <c r="E289" i="73" s="1"/>
  <c r="F331" i="73"/>
  <c r="E331" i="73" s="1"/>
  <c r="F368" i="73"/>
  <c r="E368" i="73" s="1"/>
  <c r="F199" i="73"/>
  <c r="E199" i="73" s="1"/>
  <c r="F287" i="73"/>
  <c r="E287" i="73" s="1"/>
  <c r="F367" i="73"/>
  <c r="E367" i="73" s="1"/>
  <c r="F226" i="73"/>
  <c r="E226" i="73" s="1"/>
  <c r="F311" i="73"/>
  <c r="E311" i="73" s="1"/>
  <c r="F175" i="73"/>
  <c r="E175" i="73" s="1"/>
  <c r="F271" i="73"/>
  <c r="E271" i="73" s="1"/>
  <c r="F355" i="73"/>
  <c r="E355" i="73" s="1"/>
  <c r="F210" i="73"/>
  <c r="E210" i="73" s="1"/>
  <c r="F295" i="73"/>
  <c r="E295" i="73" s="1"/>
  <c r="F16" i="73"/>
  <c r="E16" i="73" s="1"/>
  <c r="F48" i="73"/>
  <c r="E48" i="73" s="1"/>
  <c r="F80" i="73"/>
  <c r="E80" i="73" s="1"/>
  <c r="F30" i="73"/>
  <c r="E30" i="73" s="1"/>
  <c r="F62" i="73"/>
  <c r="E62" i="73" s="1"/>
  <c r="F94" i="73"/>
  <c r="E94" i="73" s="1"/>
  <c r="F126" i="73"/>
  <c r="E126" i="73" s="1"/>
  <c r="F51" i="73"/>
  <c r="E51" i="73" s="1"/>
  <c r="F108" i="73"/>
  <c r="E108" i="73" s="1"/>
  <c r="F147" i="73"/>
  <c r="E147" i="73" s="1"/>
  <c r="F37" i="73"/>
  <c r="E37" i="73" s="1"/>
  <c r="F99" i="73"/>
  <c r="E99" i="73" s="1"/>
  <c r="F140" i="73"/>
  <c r="E140" i="73" s="1"/>
  <c r="F172" i="73"/>
  <c r="E172" i="73" s="1"/>
  <c r="F204" i="73"/>
  <c r="E204" i="73" s="1"/>
  <c r="F236" i="73"/>
  <c r="E236" i="73" s="1"/>
  <c r="F268" i="73"/>
  <c r="E268" i="73" s="1"/>
  <c r="F300" i="73"/>
  <c r="E300" i="73" s="1"/>
  <c r="F332" i="73"/>
  <c r="E332" i="73" s="1"/>
  <c r="F31" i="73"/>
  <c r="E31" i="73" s="1"/>
  <c r="F95" i="73"/>
  <c r="E95" i="73" s="1"/>
  <c r="F137" i="73"/>
  <c r="E137" i="73" s="1"/>
  <c r="F169" i="73"/>
  <c r="E169" i="73" s="1"/>
  <c r="F201" i="73"/>
  <c r="E201" i="73" s="1"/>
  <c r="F182" i="73"/>
  <c r="E182" i="73" s="1"/>
  <c r="F233" i="73"/>
  <c r="E233" i="73" s="1"/>
  <c r="F275" i="73"/>
  <c r="E275" i="73" s="1"/>
  <c r="F318" i="73"/>
  <c r="E318" i="73" s="1"/>
  <c r="F358" i="73"/>
  <c r="E358" i="73" s="1"/>
  <c r="F150" i="73"/>
  <c r="E150" i="73" s="1"/>
  <c r="F219" i="73"/>
  <c r="E219" i="73" s="1"/>
  <c r="F262" i="73"/>
  <c r="E262" i="73" s="1"/>
  <c r="F305" i="73"/>
  <c r="E305" i="73" s="1"/>
  <c r="F347" i="73"/>
  <c r="E347" i="73" s="1"/>
  <c r="F17" i="73"/>
  <c r="E17" i="73" s="1"/>
  <c r="F234" i="73"/>
  <c r="E234" i="73" s="1"/>
  <c r="F319" i="73"/>
  <c r="E319" i="73" s="1"/>
  <c r="F138" i="73"/>
  <c r="E138" i="73" s="1"/>
  <c r="F258" i="73"/>
  <c r="E258" i="73" s="1"/>
  <c r="F343" i="73"/>
  <c r="E343" i="73" s="1"/>
  <c r="F306" i="73"/>
  <c r="E306" i="73" s="1"/>
  <c r="F154" i="73"/>
  <c r="E154" i="73" s="1"/>
  <c r="F314" i="73"/>
  <c r="E314" i="73" s="1"/>
  <c r="F191" i="73"/>
  <c r="E191" i="73" s="1"/>
  <c r="F269" i="73"/>
  <c r="E269" i="73" s="1"/>
  <c r="F330" i="73"/>
  <c r="E330" i="73" s="1"/>
  <c r="F81" i="73"/>
  <c r="E81" i="73" s="1"/>
  <c r="F310" i="73"/>
  <c r="E310" i="73" s="1"/>
  <c r="F225" i="73"/>
  <c r="E225" i="73" s="1"/>
  <c r="F362" i="73"/>
  <c r="E362" i="73" s="1"/>
  <c r="F281" i="73"/>
  <c r="E281" i="73" s="1"/>
  <c r="F190" i="73"/>
  <c r="E190" i="73" s="1"/>
  <c r="F181" i="73"/>
  <c r="E181" i="73" s="1"/>
  <c r="F111" i="73"/>
  <c r="E111" i="73" s="1"/>
  <c r="F344" i="73"/>
  <c r="E344" i="73" s="1"/>
  <c r="F280" i="73"/>
  <c r="E280" i="73" s="1"/>
  <c r="F216" i="73"/>
  <c r="E216" i="73" s="1"/>
  <c r="F152" i="73"/>
  <c r="E152" i="73" s="1"/>
  <c r="F159" i="73"/>
  <c r="E159" i="73" s="1"/>
  <c r="F106" i="73"/>
  <c r="E106" i="73" s="1"/>
  <c r="F60" i="73"/>
  <c r="E60" i="73" s="1"/>
  <c r="F263" i="73"/>
  <c r="E263" i="73" s="1"/>
  <c r="F117" i="73"/>
  <c r="E117" i="73" s="1"/>
  <c r="F282" i="73"/>
  <c r="E282" i="73" s="1"/>
  <c r="F49" i="73"/>
  <c r="E49" i="73" s="1"/>
  <c r="F215" i="73"/>
  <c r="E215" i="73" s="1"/>
  <c r="F277" i="73"/>
  <c r="E277" i="73" s="1"/>
  <c r="F364" i="73"/>
  <c r="E364" i="73" s="1"/>
  <c r="F283" i="73"/>
  <c r="E283" i="73" s="1"/>
  <c r="F194" i="73"/>
  <c r="E194" i="73" s="1"/>
  <c r="F339" i="73"/>
  <c r="E339" i="73" s="1"/>
  <c r="F254" i="73"/>
  <c r="E254" i="73" s="1"/>
  <c r="F123" i="73"/>
  <c r="E123" i="73" s="1"/>
  <c r="F153" i="73"/>
  <c r="E153" i="73" s="1"/>
  <c r="F63" i="73"/>
  <c r="E63" i="73" s="1"/>
  <c r="F316" i="73"/>
  <c r="E316" i="73" s="1"/>
  <c r="F252" i="73"/>
  <c r="E252" i="73" s="1"/>
  <c r="F188" i="73"/>
  <c r="E188" i="73" s="1"/>
  <c r="F120" i="73"/>
  <c r="E120" i="73" s="1"/>
  <c r="F124" i="73"/>
  <c r="E124" i="73" s="1"/>
  <c r="F74" i="73"/>
  <c r="E74" i="73" s="1"/>
  <c r="F28" i="73"/>
  <c r="E28" i="73" s="1"/>
  <c r="C10" i="73"/>
  <c r="C11" i="73" s="1"/>
  <c r="C12" i="73" s="1"/>
  <c r="C13" i="73" s="1"/>
  <c r="C14" i="73" s="1"/>
  <c r="C15" i="73" s="1"/>
  <c r="C16" i="73" s="1"/>
  <c r="C17" i="73" s="1"/>
  <c r="C18" i="73" s="1"/>
  <c r="C19" i="73" s="1"/>
  <c r="C20" i="73" s="1"/>
  <c r="C21" i="73" s="1"/>
  <c r="C22" i="73" s="1"/>
  <c r="E149" i="73"/>
  <c r="U2" i="73"/>
  <c r="K10" i="73"/>
  <c r="K11" i="73" s="1"/>
  <c r="K12" i="73" s="1"/>
  <c r="K13" i="73" s="1"/>
  <c r="K14" i="73" s="1"/>
  <c r="K15" i="73" s="1"/>
  <c r="K16" i="73" s="1"/>
  <c r="K17" i="73" s="1"/>
  <c r="K18" i="73" s="1"/>
  <c r="K19" i="73" s="1"/>
  <c r="K20" i="73" s="1"/>
  <c r="K21" i="73" s="1"/>
  <c r="K22" i="73" s="1"/>
  <c r="N10" i="73"/>
  <c r="M10" i="73" s="1"/>
  <c r="N14" i="73"/>
  <c r="M14" i="73" s="1"/>
  <c r="N18" i="73"/>
  <c r="M18" i="73" s="1"/>
  <c r="N22" i="73"/>
  <c r="M22" i="73" s="1"/>
  <c r="N26" i="73"/>
  <c r="M26" i="73" s="1"/>
  <c r="N30" i="73"/>
  <c r="M30" i="73" s="1"/>
  <c r="N34" i="73"/>
  <c r="M34" i="73" s="1"/>
  <c r="N38" i="73"/>
  <c r="M38" i="73" s="1"/>
  <c r="N42" i="73"/>
  <c r="M42" i="73" s="1"/>
  <c r="N46" i="73"/>
  <c r="M46" i="73" s="1"/>
  <c r="N50" i="73"/>
  <c r="M50" i="73" s="1"/>
  <c r="N54" i="73"/>
  <c r="M54" i="73" s="1"/>
  <c r="N58" i="73"/>
  <c r="M58" i="73" s="1"/>
  <c r="N62" i="73"/>
  <c r="M62" i="73" s="1"/>
  <c r="N66" i="73"/>
  <c r="M66" i="73" s="1"/>
  <c r="N70" i="73"/>
  <c r="M70" i="73" s="1"/>
  <c r="N74" i="73"/>
  <c r="M74" i="73" s="1"/>
  <c r="N78" i="73"/>
  <c r="M78" i="73" s="1"/>
  <c r="N82" i="73"/>
  <c r="M82" i="73" s="1"/>
  <c r="N86" i="73"/>
  <c r="M86" i="73" s="1"/>
  <c r="N90" i="73"/>
  <c r="M90" i="73" s="1"/>
  <c r="N94" i="73"/>
  <c r="M94" i="73" s="1"/>
  <c r="N98" i="73"/>
  <c r="M98" i="73" s="1"/>
  <c r="N102" i="73"/>
  <c r="M102" i="73" s="1"/>
  <c r="N106" i="73"/>
  <c r="M106" i="73" s="1"/>
  <c r="N110" i="73"/>
  <c r="M110" i="73" s="1"/>
  <c r="N114" i="73"/>
  <c r="M114" i="73" s="1"/>
  <c r="N118" i="73"/>
  <c r="M118" i="73" s="1"/>
  <c r="N122" i="73"/>
  <c r="M122" i="73" s="1"/>
  <c r="N126" i="73"/>
  <c r="M126" i="73" s="1"/>
  <c r="N130" i="73"/>
  <c r="M130" i="73" s="1"/>
  <c r="N134" i="73"/>
  <c r="M134" i="73" s="1"/>
  <c r="N138" i="73"/>
  <c r="M138" i="73" s="1"/>
  <c r="N142" i="73"/>
  <c r="M142" i="73" s="1"/>
  <c r="N146" i="73"/>
  <c r="M146" i="73" s="1"/>
  <c r="N150" i="73"/>
  <c r="M150" i="73" s="1"/>
  <c r="N154" i="73"/>
  <c r="M154" i="73" s="1"/>
  <c r="N158" i="73"/>
  <c r="M158" i="73" s="1"/>
  <c r="N162" i="73"/>
  <c r="M162" i="73" s="1"/>
  <c r="N166" i="73"/>
  <c r="M166" i="73" s="1"/>
  <c r="N170" i="73"/>
  <c r="M170" i="73" s="1"/>
  <c r="N174" i="73"/>
  <c r="M174" i="73" s="1"/>
  <c r="N178" i="73"/>
  <c r="M178" i="73" s="1"/>
  <c r="N182" i="73"/>
  <c r="M182" i="73" s="1"/>
  <c r="N186" i="73"/>
  <c r="M186" i="73" s="1"/>
  <c r="N11" i="73"/>
  <c r="M11" i="73" s="1"/>
  <c r="N15" i="73"/>
  <c r="M15" i="73" s="1"/>
  <c r="N19" i="73"/>
  <c r="M19" i="73" s="1"/>
  <c r="N23" i="73"/>
  <c r="M23" i="73" s="1"/>
  <c r="N27" i="73"/>
  <c r="M27" i="73" s="1"/>
  <c r="N31" i="73"/>
  <c r="M31" i="73" s="1"/>
  <c r="N35" i="73"/>
  <c r="M35" i="73" s="1"/>
  <c r="N39" i="73"/>
  <c r="M39" i="73" s="1"/>
  <c r="N43" i="73"/>
  <c r="M43" i="73" s="1"/>
  <c r="N47" i="73"/>
  <c r="M47" i="73" s="1"/>
  <c r="N51" i="73"/>
  <c r="M51" i="73" s="1"/>
  <c r="N55" i="73"/>
  <c r="M55" i="73" s="1"/>
  <c r="N59" i="73"/>
  <c r="M59" i="73" s="1"/>
  <c r="N63" i="73"/>
  <c r="M63" i="73" s="1"/>
  <c r="N67" i="73"/>
  <c r="M67" i="73" s="1"/>
  <c r="N71" i="73"/>
  <c r="M71" i="73" s="1"/>
  <c r="N75" i="73"/>
  <c r="M75" i="73" s="1"/>
  <c r="N79" i="73"/>
  <c r="M79" i="73" s="1"/>
  <c r="N83" i="73"/>
  <c r="M83" i="73" s="1"/>
  <c r="N87" i="73"/>
  <c r="M87" i="73" s="1"/>
  <c r="N91" i="73"/>
  <c r="M91" i="73" s="1"/>
  <c r="N95" i="73"/>
  <c r="M95" i="73" s="1"/>
  <c r="N99" i="73"/>
  <c r="M99" i="73" s="1"/>
  <c r="N103" i="73"/>
  <c r="M103" i="73" s="1"/>
  <c r="N107" i="73"/>
  <c r="M107" i="73" s="1"/>
  <c r="N111" i="73"/>
  <c r="M111" i="73" s="1"/>
  <c r="N115" i="73"/>
  <c r="M115" i="73" s="1"/>
  <c r="N119" i="73"/>
  <c r="M119" i="73" s="1"/>
  <c r="N123" i="73"/>
  <c r="M123" i="73" s="1"/>
  <c r="N127" i="73"/>
  <c r="M127" i="73" s="1"/>
  <c r="N131" i="73"/>
  <c r="M131" i="73" s="1"/>
  <c r="N135" i="73"/>
  <c r="M135" i="73" s="1"/>
  <c r="N139" i="73"/>
  <c r="M139" i="73" s="1"/>
  <c r="N143" i="73"/>
  <c r="M143" i="73" s="1"/>
  <c r="N147" i="73"/>
  <c r="M147" i="73" s="1"/>
  <c r="N151" i="73"/>
  <c r="M151" i="73" s="1"/>
  <c r="N155" i="73"/>
  <c r="M155" i="73" s="1"/>
  <c r="N159" i="73"/>
  <c r="M159" i="73" s="1"/>
  <c r="N163" i="73"/>
  <c r="M163" i="73" s="1"/>
  <c r="N167" i="73"/>
  <c r="M167" i="73" s="1"/>
  <c r="N171" i="73"/>
  <c r="M171" i="73" s="1"/>
  <c r="N175" i="73"/>
  <c r="M175" i="73" s="1"/>
  <c r="N179" i="73"/>
  <c r="M179" i="73" s="1"/>
  <c r="N183" i="73"/>
  <c r="M183" i="73" s="1"/>
  <c r="N187" i="73"/>
  <c r="M187" i="73" s="1"/>
  <c r="N13" i="73"/>
  <c r="M13" i="73" s="1"/>
  <c r="N17" i="73"/>
  <c r="M17" i="73" s="1"/>
  <c r="N21" i="73"/>
  <c r="M21" i="73" s="1"/>
  <c r="N25" i="73"/>
  <c r="M25" i="73" s="1"/>
  <c r="N29" i="73"/>
  <c r="M29" i="73" s="1"/>
  <c r="N33" i="73"/>
  <c r="M33" i="73" s="1"/>
  <c r="N37" i="73"/>
  <c r="M37" i="73" s="1"/>
  <c r="N41" i="73"/>
  <c r="M41" i="73" s="1"/>
  <c r="N45" i="73"/>
  <c r="M45" i="73" s="1"/>
  <c r="N49" i="73"/>
  <c r="M49" i="73" s="1"/>
  <c r="N53" i="73"/>
  <c r="M53" i="73" s="1"/>
  <c r="N57" i="73"/>
  <c r="M57" i="73" s="1"/>
  <c r="N61" i="73"/>
  <c r="M61" i="73" s="1"/>
  <c r="N65" i="73"/>
  <c r="M65" i="73" s="1"/>
  <c r="N69" i="73"/>
  <c r="M69" i="73" s="1"/>
  <c r="N73" i="73"/>
  <c r="M73" i="73" s="1"/>
  <c r="N77" i="73"/>
  <c r="M77" i="73" s="1"/>
  <c r="N81" i="73"/>
  <c r="M81" i="73" s="1"/>
  <c r="N85" i="73"/>
  <c r="M85" i="73" s="1"/>
  <c r="N89" i="73"/>
  <c r="M89" i="73" s="1"/>
  <c r="N93" i="73"/>
  <c r="M93" i="73" s="1"/>
  <c r="N97" i="73"/>
  <c r="M97" i="73" s="1"/>
  <c r="N101" i="73"/>
  <c r="M101" i="73" s="1"/>
  <c r="N105" i="73"/>
  <c r="M105" i="73" s="1"/>
  <c r="N109" i="73"/>
  <c r="M109" i="73" s="1"/>
  <c r="N113" i="73"/>
  <c r="M113" i="73" s="1"/>
  <c r="N117" i="73"/>
  <c r="M117" i="73" s="1"/>
  <c r="N121" i="73"/>
  <c r="M121" i="73" s="1"/>
  <c r="N125" i="73"/>
  <c r="M125" i="73" s="1"/>
  <c r="N129" i="73"/>
  <c r="M129" i="73" s="1"/>
  <c r="N133" i="73"/>
  <c r="M133" i="73" s="1"/>
  <c r="N137" i="73"/>
  <c r="M137" i="73" s="1"/>
  <c r="N141" i="73"/>
  <c r="M141" i="73" s="1"/>
  <c r="N145" i="73"/>
  <c r="M145" i="73" s="1"/>
  <c r="N149" i="73"/>
  <c r="M149" i="73" s="1"/>
  <c r="N153" i="73"/>
  <c r="M153" i="73" s="1"/>
  <c r="N157" i="73"/>
  <c r="M157" i="73" s="1"/>
  <c r="N161" i="73"/>
  <c r="M161" i="73" s="1"/>
  <c r="N165" i="73"/>
  <c r="M165" i="73" s="1"/>
  <c r="N169" i="73"/>
  <c r="M169" i="73" s="1"/>
  <c r="N173" i="73"/>
  <c r="M173" i="73" s="1"/>
  <c r="N177" i="73"/>
  <c r="M177" i="73" s="1"/>
  <c r="N181" i="73"/>
  <c r="M181" i="73" s="1"/>
  <c r="N185" i="73"/>
  <c r="M185" i="73" s="1"/>
  <c r="N189" i="73"/>
  <c r="M189" i="73" s="1"/>
  <c r="N24" i="73"/>
  <c r="M24" i="73" s="1"/>
  <c r="N40" i="73"/>
  <c r="M40" i="73" s="1"/>
  <c r="N56" i="73"/>
  <c r="M56" i="73" s="1"/>
  <c r="N72" i="73"/>
  <c r="M72" i="73" s="1"/>
  <c r="N88" i="73"/>
  <c r="M88" i="73" s="1"/>
  <c r="N104" i="73"/>
  <c r="M104" i="73" s="1"/>
  <c r="N120" i="73"/>
  <c r="M120" i="73" s="1"/>
  <c r="N136" i="73"/>
  <c r="M136" i="73" s="1"/>
  <c r="N152" i="73"/>
  <c r="M152" i="73" s="1"/>
  <c r="N168" i="73"/>
  <c r="M168" i="73" s="1"/>
  <c r="N184" i="73"/>
  <c r="M184" i="73" s="1"/>
  <c r="N12" i="73"/>
  <c r="M12" i="73" s="1"/>
  <c r="N28" i="73"/>
  <c r="M28" i="73" s="1"/>
  <c r="N44" i="73"/>
  <c r="M44" i="73" s="1"/>
  <c r="N60" i="73"/>
  <c r="M60" i="73" s="1"/>
  <c r="N76" i="73"/>
  <c r="M76" i="73" s="1"/>
  <c r="N92" i="73"/>
  <c r="M92" i="73" s="1"/>
  <c r="N108" i="73"/>
  <c r="M108" i="73" s="1"/>
  <c r="N124" i="73"/>
  <c r="M124" i="73" s="1"/>
  <c r="N140" i="73"/>
  <c r="M140" i="73" s="1"/>
  <c r="N156" i="73"/>
  <c r="M156" i="73" s="1"/>
  <c r="N172" i="73"/>
  <c r="M172" i="73" s="1"/>
  <c r="N188" i="73"/>
  <c r="M188" i="73" s="1"/>
  <c r="N16" i="73"/>
  <c r="M16" i="73" s="1"/>
  <c r="N32" i="73"/>
  <c r="M32" i="73" s="1"/>
  <c r="N48" i="73"/>
  <c r="M48" i="73" s="1"/>
  <c r="N64" i="73"/>
  <c r="M64" i="73" s="1"/>
  <c r="N80" i="73"/>
  <c r="M80" i="73" s="1"/>
  <c r="N96" i="73"/>
  <c r="M96" i="73" s="1"/>
  <c r="N112" i="73"/>
  <c r="M112" i="73" s="1"/>
  <c r="N128" i="73"/>
  <c r="M128" i="73" s="1"/>
  <c r="N144" i="73"/>
  <c r="M144" i="73" s="1"/>
  <c r="N160" i="73"/>
  <c r="M160" i="73" s="1"/>
  <c r="N176" i="73"/>
  <c r="M176" i="73" s="1"/>
  <c r="N20" i="73"/>
  <c r="M20" i="73" s="1"/>
  <c r="N36" i="73"/>
  <c r="M36" i="73" s="1"/>
  <c r="N52" i="73"/>
  <c r="M52" i="73" s="1"/>
  <c r="N68" i="73"/>
  <c r="M68" i="73" s="1"/>
  <c r="N84" i="73"/>
  <c r="M84" i="73" s="1"/>
  <c r="N100" i="73"/>
  <c r="M100" i="73" s="1"/>
  <c r="N116" i="73"/>
  <c r="M116" i="73" s="1"/>
  <c r="N132" i="73"/>
  <c r="M132" i="73" s="1"/>
  <c r="N148" i="73"/>
  <c r="M148" i="73" s="1"/>
  <c r="N164" i="73"/>
  <c r="M164" i="73" s="1"/>
  <c r="N180" i="73"/>
  <c r="M180" i="73" s="1"/>
  <c r="F357" i="73"/>
  <c r="E357" i="73" s="1"/>
  <c r="F317" i="73"/>
  <c r="E317" i="73" s="1"/>
  <c r="F274" i="73"/>
  <c r="E274" i="73" s="1"/>
  <c r="F231" i="73"/>
  <c r="E231" i="73" s="1"/>
  <c r="F179" i="73"/>
  <c r="E179" i="73" s="1"/>
  <c r="F335" i="73"/>
  <c r="E335" i="73" s="1"/>
  <c r="F293" i="73"/>
  <c r="E293" i="73" s="1"/>
  <c r="F250" i="73"/>
  <c r="E250" i="73" s="1"/>
  <c r="F207" i="73"/>
  <c r="E207" i="73" s="1"/>
  <c r="F107" i="73"/>
  <c r="E107" i="73" s="1"/>
  <c r="F361" i="73"/>
  <c r="E361" i="73" s="1"/>
  <c r="F322" i="73"/>
  <c r="E322" i="73" s="1"/>
  <c r="F279" i="73"/>
  <c r="E279" i="73" s="1"/>
  <c r="F237" i="73"/>
  <c r="E237" i="73" s="1"/>
  <c r="F187" i="73"/>
  <c r="E187" i="73" s="1"/>
  <c r="F33" i="73"/>
  <c r="E33" i="73" s="1"/>
  <c r="F341" i="73"/>
  <c r="E341" i="73" s="1"/>
  <c r="F298" i="73"/>
  <c r="E298" i="73" s="1"/>
  <c r="F255" i="73"/>
  <c r="E255" i="73" s="1"/>
  <c r="F213" i="73"/>
  <c r="E213" i="73" s="1"/>
  <c r="F128" i="73"/>
  <c r="E128" i="73" s="1"/>
  <c r="F356" i="73"/>
  <c r="E356" i="73" s="1"/>
  <c r="F337" i="73"/>
  <c r="E337" i="73" s="1"/>
  <c r="F315" i="73"/>
  <c r="E315" i="73" s="1"/>
  <c r="F294" i="73"/>
  <c r="E294" i="73" s="1"/>
  <c r="F273" i="73"/>
  <c r="E273" i="73" s="1"/>
  <c r="F251" i="73"/>
  <c r="E251" i="73" s="1"/>
  <c r="F230" i="73"/>
  <c r="E230" i="73" s="1"/>
  <c r="F209" i="73"/>
  <c r="E209" i="73" s="1"/>
  <c r="F178" i="73"/>
  <c r="E178" i="73" s="1"/>
  <c r="F112" i="73"/>
  <c r="E112" i="73" s="1"/>
  <c r="F366" i="73"/>
  <c r="E366" i="73" s="1"/>
  <c r="F350" i="73"/>
  <c r="E350" i="73" s="1"/>
  <c r="F329" i="73"/>
  <c r="E329" i="73" s="1"/>
  <c r="F307" i="73"/>
  <c r="E307" i="73" s="1"/>
  <c r="F286" i="73"/>
  <c r="E286" i="73" s="1"/>
  <c r="F265" i="73"/>
  <c r="E265" i="73" s="1"/>
  <c r="F243" i="73"/>
  <c r="E243" i="73" s="1"/>
  <c r="F222" i="73"/>
  <c r="E222" i="73" s="1"/>
  <c r="F198" i="73"/>
  <c r="E198" i="73" s="1"/>
  <c r="F158" i="73"/>
  <c r="E158" i="73" s="1"/>
  <c r="F73" i="73"/>
  <c r="E73" i="73" s="1"/>
  <c r="F205" i="73"/>
  <c r="E205" i="73" s="1"/>
  <c r="F189" i="73"/>
  <c r="E189" i="73" s="1"/>
  <c r="F173" i="73"/>
  <c r="E173" i="73" s="1"/>
  <c r="F157" i="73"/>
  <c r="E157" i="73" s="1"/>
  <c r="F141" i="73"/>
  <c r="E141" i="73" s="1"/>
  <c r="F121" i="73"/>
  <c r="E121" i="73" s="1"/>
  <c r="F100" i="73"/>
  <c r="E100" i="73" s="1"/>
  <c r="F71" i="73"/>
  <c r="E71" i="73" s="1"/>
  <c r="F39" i="73"/>
  <c r="E39" i="73" s="1"/>
  <c r="F336" i="73"/>
  <c r="E336" i="73" s="1"/>
  <c r="F320" i="73"/>
  <c r="E320" i="73" s="1"/>
  <c r="F304" i="73"/>
  <c r="E304" i="73" s="1"/>
  <c r="F288" i="73"/>
  <c r="E288" i="73" s="1"/>
  <c r="F272" i="73"/>
  <c r="E272" i="73" s="1"/>
  <c r="F256" i="73"/>
  <c r="E256" i="73" s="1"/>
  <c r="F240" i="73"/>
  <c r="E240" i="73" s="1"/>
  <c r="F224" i="73"/>
  <c r="E224" i="73" s="1"/>
  <c r="F208" i="73"/>
  <c r="E208" i="73" s="1"/>
  <c r="F192" i="73"/>
  <c r="E192" i="73" s="1"/>
  <c r="F176" i="73"/>
  <c r="E176" i="73" s="1"/>
  <c r="F160" i="73"/>
  <c r="E160" i="73" s="1"/>
  <c r="F144" i="73"/>
  <c r="E144" i="73" s="1"/>
  <c r="F125" i="73"/>
  <c r="E125" i="73" s="1"/>
  <c r="F104" i="73"/>
  <c r="E104" i="73" s="1"/>
  <c r="F77" i="73"/>
  <c r="E77" i="73" s="1"/>
  <c r="F45" i="73"/>
  <c r="E45" i="73" s="1"/>
  <c r="F13" i="73"/>
  <c r="E13" i="73" s="1"/>
  <c r="F167" i="73"/>
  <c r="E167" i="73" s="1"/>
  <c r="F151" i="73"/>
  <c r="E151" i="73" s="1"/>
  <c r="F135" i="73"/>
  <c r="E135" i="73" s="1"/>
  <c r="F113" i="73"/>
  <c r="E113" i="73" s="1"/>
  <c r="F91" i="73"/>
  <c r="E91" i="73" s="1"/>
  <c r="F59" i="73"/>
  <c r="E59" i="73" s="1"/>
  <c r="F27" i="73"/>
  <c r="E27" i="73" s="1"/>
  <c r="F130" i="73"/>
  <c r="E130" i="73" s="1"/>
  <c r="F114" i="73"/>
  <c r="E114" i="73" s="1"/>
  <c r="F98" i="73"/>
  <c r="E98" i="73" s="1"/>
  <c r="F82" i="73"/>
  <c r="E82" i="73" s="1"/>
  <c r="F66" i="73"/>
  <c r="E66" i="73" s="1"/>
  <c r="F50" i="73"/>
  <c r="E50" i="73" s="1"/>
  <c r="F34" i="73"/>
  <c r="E34" i="73" s="1"/>
  <c r="F18" i="73"/>
  <c r="E18" i="73" s="1"/>
  <c r="F84" i="73"/>
  <c r="E84" i="73" s="1"/>
  <c r="F68" i="73"/>
  <c r="E68" i="73" s="1"/>
  <c r="F52" i="73"/>
  <c r="E52" i="73" s="1"/>
  <c r="F36" i="73"/>
  <c r="E36" i="73" s="1"/>
  <c r="F20" i="73"/>
  <c r="E20" i="73" s="1"/>
  <c r="E301" i="73"/>
  <c r="F365" i="73"/>
  <c r="E365" i="73" s="1"/>
  <c r="F327" i="73"/>
  <c r="E327" i="73" s="1"/>
  <c r="F285" i="73"/>
  <c r="E285" i="73" s="1"/>
  <c r="F242" i="73"/>
  <c r="E242" i="73" s="1"/>
  <c r="F195" i="73"/>
  <c r="E195" i="73" s="1"/>
  <c r="F65" i="73"/>
  <c r="E65" i="73" s="1"/>
  <c r="F346" i="73"/>
  <c r="E346" i="73" s="1"/>
  <c r="F303" i="73"/>
  <c r="E303" i="73" s="1"/>
  <c r="F261" i="73"/>
  <c r="E261" i="73" s="1"/>
  <c r="F218" i="73"/>
  <c r="E218" i="73" s="1"/>
  <c r="F146" i="73"/>
  <c r="E146" i="73" s="1"/>
  <c r="F369" i="73"/>
  <c r="E369" i="73" s="1"/>
  <c r="F333" i="73"/>
  <c r="E333" i="73" s="1"/>
  <c r="F290" i="73"/>
  <c r="E290" i="73" s="1"/>
  <c r="F247" i="73"/>
  <c r="E247" i="73" s="1"/>
  <c r="F203" i="73"/>
  <c r="E203" i="73" s="1"/>
  <c r="F96" i="73"/>
  <c r="E96" i="73" s="1"/>
  <c r="F351" i="73"/>
  <c r="E351" i="73" s="1"/>
  <c r="F309" i="73"/>
  <c r="E309" i="73" s="1"/>
  <c r="F266" i="73"/>
  <c r="E266" i="73" s="1"/>
  <c r="F223" i="73"/>
  <c r="E223" i="73" s="1"/>
  <c r="F162" i="73"/>
  <c r="E162" i="73" s="1"/>
  <c r="F360" i="73"/>
  <c r="E360" i="73" s="1"/>
  <c r="F342" i="73"/>
  <c r="E342" i="73" s="1"/>
  <c r="F321" i="73"/>
  <c r="E321" i="73" s="1"/>
  <c r="F299" i="73"/>
  <c r="E299" i="73" s="1"/>
  <c r="F278" i="73"/>
  <c r="E278" i="73" s="1"/>
  <c r="F257" i="73"/>
  <c r="E257" i="73" s="1"/>
  <c r="F235" i="73"/>
  <c r="E235" i="73" s="1"/>
  <c r="F214" i="73"/>
  <c r="E214" i="73" s="1"/>
  <c r="F186" i="73"/>
  <c r="E186" i="73" s="1"/>
  <c r="F133" i="73"/>
  <c r="E133" i="73" s="1"/>
  <c r="F25" i="73"/>
  <c r="E25" i="73" s="1"/>
  <c r="F10" i="73"/>
  <c r="E10" i="73" s="1"/>
  <c r="F354" i="73"/>
  <c r="E354" i="73" s="1"/>
  <c r="F334" i="73"/>
  <c r="E334" i="73" s="1"/>
  <c r="F313" i="73"/>
  <c r="E313" i="73" s="1"/>
  <c r="F291" i="73"/>
  <c r="E291" i="73" s="1"/>
  <c r="F270" i="73"/>
  <c r="E270" i="73" s="1"/>
  <c r="F249" i="73"/>
  <c r="E249" i="73" s="1"/>
  <c r="F227" i="73"/>
  <c r="E227" i="73" s="1"/>
  <c r="F206" i="73"/>
  <c r="E206" i="73" s="1"/>
  <c r="F174" i="73"/>
  <c r="E174" i="73" s="1"/>
  <c r="F101" i="73"/>
  <c r="E101" i="73" s="1"/>
  <c r="F193" i="73"/>
  <c r="E193" i="73" s="1"/>
  <c r="F177" i="73"/>
  <c r="E177" i="73" s="1"/>
  <c r="F161" i="73"/>
  <c r="E161" i="73" s="1"/>
  <c r="F145" i="73"/>
  <c r="E145" i="73" s="1"/>
  <c r="F127" i="73"/>
  <c r="E127" i="73" s="1"/>
  <c r="F105" i="73"/>
  <c r="E105" i="73" s="1"/>
  <c r="F79" i="73"/>
  <c r="E79" i="73" s="1"/>
  <c r="F47" i="73"/>
  <c r="E47" i="73" s="1"/>
  <c r="F15" i="73"/>
  <c r="E15" i="73" s="1"/>
  <c r="F340" i="73"/>
  <c r="E340" i="73" s="1"/>
  <c r="F324" i="73"/>
  <c r="E324" i="73" s="1"/>
  <c r="F308" i="73"/>
  <c r="E308" i="73" s="1"/>
  <c r="F292" i="73"/>
  <c r="E292" i="73" s="1"/>
  <c r="F276" i="73"/>
  <c r="E276" i="73" s="1"/>
  <c r="F260" i="73"/>
  <c r="E260" i="73" s="1"/>
  <c r="F244" i="73"/>
  <c r="E244" i="73" s="1"/>
  <c r="F228" i="73"/>
  <c r="E228" i="73" s="1"/>
  <c r="F212" i="73"/>
  <c r="E212" i="73" s="1"/>
  <c r="F196" i="73"/>
  <c r="E196" i="73" s="1"/>
  <c r="F180" i="73"/>
  <c r="E180" i="73" s="1"/>
  <c r="F164" i="73"/>
  <c r="E164" i="73" s="1"/>
  <c r="F148" i="73"/>
  <c r="E148" i="73" s="1"/>
  <c r="F131" i="73"/>
  <c r="E131" i="73" s="1"/>
  <c r="F109" i="73"/>
  <c r="E109" i="73" s="1"/>
  <c r="F85" i="73"/>
  <c r="E85" i="73" s="1"/>
  <c r="F53" i="73"/>
  <c r="E53" i="73" s="1"/>
  <c r="F21" i="73"/>
  <c r="E21" i="73" s="1"/>
  <c r="F171" i="73"/>
  <c r="E171" i="73" s="1"/>
  <c r="F155" i="73"/>
  <c r="E155" i="73" s="1"/>
  <c r="F139" i="73"/>
  <c r="E139" i="73" s="1"/>
  <c r="F119" i="73"/>
  <c r="E119" i="73" s="1"/>
  <c r="F97" i="73"/>
  <c r="E97" i="73" s="1"/>
  <c r="F67" i="73"/>
  <c r="E67" i="73" s="1"/>
  <c r="F35" i="73"/>
  <c r="E35" i="73" s="1"/>
  <c r="F134" i="73"/>
  <c r="E134" i="73" s="1"/>
  <c r="F118" i="73"/>
  <c r="E118" i="73" s="1"/>
  <c r="F102" i="73"/>
  <c r="E102" i="73" s="1"/>
  <c r="F86" i="73"/>
  <c r="E86" i="73" s="1"/>
  <c r="F70" i="73"/>
  <c r="E70" i="73" s="1"/>
  <c r="F54" i="73"/>
  <c r="E54" i="73" s="1"/>
  <c r="F38" i="73"/>
  <c r="E38" i="73" s="1"/>
  <c r="F22" i="73"/>
  <c r="E22" i="73" s="1"/>
  <c r="F88" i="73"/>
  <c r="E88" i="73" s="1"/>
  <c r="F72" i="73"/>
  <c r="E72" i="73" s="1"/>
  <c r="F56" i="73"/>
  <c r="E56" i="73" s="1"/>
  <c r="F40" i="73"/>
  <c r="E40" i="73" s="1"/>
  <c r="F24" i="73"/>
  <c r="E24" i="73" s="1"/>
  <c r="E185" i="73"/>
  <c r="E220" i="73"/>
  <c r="E57" i="73"/>
  <c r="E115" i="73"/>
  <c r="E11" i="73"/>
  <c r="D59" i="3"/>
  <c r="D57" i="3"/>
  <c r="D55" i="3"/>
  <c r="D56" i="3"/>
  <c r="K23" i="73" l="1"/>
  <c r="K24" i="73" s="1"/>
  <c r="K25" i="73" s="1"/>
  <c r="K26" i="73" s="1"/>
  <c r="K27" i="73" s="1"/>
  <c r="K28" i="73" s="1"/>
  <c r="K29" i="73" s="1"/>
  <c r="K30" i="73" s="1"/>
  <c r="K31" i="73" s="1"/>
  <c r="K32" i="73" s="1"/>
  <c r="K33" i="73" s="1"/>
  <c r="K34" i="73" s="1"/>
  <c r="O34" i="73" s="1"/>
  <c r="T4" i="73" s="1"/>
  <c r="O22" i="73"/>
  <c r="T3" i="73" s="1"/>
  <c r="C23" i="73"/>
  <c r="C24" i="73" s="1"/>
  <c r="C25" i="73" s="1"/>
  <c r="C26" i="73" s="1"/>
  <c r="C27" i="73" s="1"/>
  <c r="C28" i="73" s="1"/>
  <c r="C29" i="73" s="1"/>
  <c r="C30" i="73" s="1"/>
  <c r="C31" i="73" s="1"/>
  <c r="C32" i="73" s="1"/>
  <c r="C33" i="73" s="1"/>
  <c r="C34" i="73" s="1"/>
  <c r="K6" i="73"/>
  <c r="C6" i="73"/>
  <c r="C17" i="16"/>
  <c r="C15" i="16"/>
  <c r="F22" i="11"/>
  <c r="C26" i="5"/>
  <c r="D102" i="55"/>
  <c r="K35" i="73" l="1"/>
  <c r="K36" i="73" s="1"/>
  <c r="K37" i="73" s="1"/>
  <c r="K38" i="73" s="1"/>
  <c r="K39" i="73" s="1"/>
  <c r="K40" i="73" s="1"/>
  <c r="K41" i="73" s="1"/>
  <c r="K42" i="73" s="1"/>
  <c r="K43" i="73" s="1"/>
  <c r="K44" i="73" s="1"/>
  <c r="K45" i="73" s="1"/>
  <c r="K46" i="73" s="1"/>
  <c r="O46" i="73" s="1"/>
  <c r="T5" i="73" s="1"/>
  <c r="G22" i="73"/>
  <c r="S3" i="73" s="1"/>
  <c r="U3" i="73" s="1"/>
  <c r="C35" i="73"/>
  <c r="C36" i="73" s="1"/>
  <c r="C37" i="73" s="1"/>
  <c r="C38" i="73" s="1"/>
  <c r="C39" i="73" s="1"/>
  <c r="C40" i="73" s="1"/>
  <c r="C41" i="73" s="1"/>
  <c r="C42" i="73" s="1"/>
  <c r="C43" i="73" s="1"/>
  <c r="C44" i="73" s="1"/>
  <c r="C45" i="73" s="1"/>
  <c r="C46" i="73" s="1"/>
  <c r="D176" i="53"/>
  <c r="D103" i="55"/>
  <c r="B105" i="55"/>
  <c r="K47" i="73" l="1"/>
  <c r="K48" i="73" s="1"/>
  <c r="K49" i="73" s="1"/>
  <c r="K50" i="73" s="1"/>
  <c r="K51" i="73" s="1"/>
  <c r="K52" i="73" s="1"/>
  <c r="K53" i="73" s="1"/>
  <c r="K54" i="73" s="1"/>
  <c r="K55" i="73" s="1"/>
  <c r="K56" i="73" s="1"/>
  <c r="K57" i="73" s="1"/>
  <c r="K58" i="73" s="1"/>
  <c r="O58" i="73" s="1"/>
  <c r="T6" i="73" s="1"/>
  <c r="G34" i="73"/>
  <c r="S4" i="73" s="1"/>
  <c r="U4" i="73" s="1"/>
  <c r="C47" i="73"/>
  <c r="C48" i="73" s="1"/>
  <c r="C49" i="73" s="1"/>
  <c r="C50" i="73" s="1"/>
  <c r="C51" i="73" s="1"/>
  <c r="C52" i="73" s="1"/>
  <c r="C53" i="73" s="1"/>
  <c r="C54" i="73" s="1"/>
  <c r="C55" i="73" s="1"/>
  <c r="C56" i="73" s="1"/>
  <c r="C57" i="73" s="1"/>
  <c r="C58" i="73" s="1"/>
  <c r="K59" i="73" l="1"/>
  <c r="K60" i="73" s="1"/>
  <c r="K61" i="73" s="1"/>
  <c r="K62" i="73" s="1"/>
  <c r="K63" i="73" s="1"/>
  <c r="K64" i="73" s="1"/>
  <c r="K65" i="73" s="1"/>
  <c r="K66" i="73" s="1"/>
  <c r="K67" i="73" s="1"/>
  <c r="K68" i="73" s="1"/>
  <c r="K69" i="73" s="1"/>
  <c r="K70" i="73" s="1"/>
  <c r="O70" i="73" s="1"/>
  <c r="T7" i="73" s="1"/>
  <c r="G46" i="73"/>
  <c r="S5" i="73" s="1"/>
  <c r="U5" i="73" s="1"/>
  <c r="C59" i="73"/>
  <c r="C60" i="73" s="1"/>
  <c r="C61" i="73" s="1"/>
  <c r="C62" i="73" s="1"/>
  <c r="C63" i="73" s="1"/>
  <c r="C64" i="73" s="1"/>
  <c r="C65" i="73" s="1"/>
  <c r="C66" i="73" s="1"/>
  <c r="C67" i="73" s="1"/>
  <c r="C68" i="73" s="1"/>
  <c r="C69" i="73" s="1"/>
  <c r="C70" i="73" s="1"/>
  <c r="C31" i="20"/>
  <c r="D79" i="3"/>
  <c r="D78" i="3" s="1"/>
  <c r="D70" i="3"/>
  <c r="H23" i="20" s="1"/>
  <c r="Q72" i="3"/>
  <c r="Q71" i="3"/>
  <c r="Q70" i="3"/>
  <c r="Q69" i="3"/>
  <c r="Q68" i="3"/>
  <c r="Q67" i="3"/>
  <c r="Q66" i="3"/>
  <c r="P72" i="3"/>
  <c r="P71" i="3"/>
  <c r="P70" i="3"/>
  <c r="P69" i="3"/>
  <c r="P68" i="3"/>
  <c r="P67" i="3"/>
  <c r="P66" i="3"/>
  <c r="O72" i="3"/>
  <c r="O71" i="3"/>
  <c r="O70" i="3"/>
  <c r="O69" i="3"/>
  <c r="O68" i="3"/>
  <c r="O67" i="3"/>
  <c r="O66" i="3"/>
  <c r="N72" i="3"/>
  <c r="N71" i="3"/>
  <c r="N70" i="3"/>
  <c r="N69" i="3"/>
  <c r="N68" i="3"/>
  <c r="N67" i="3"/>
  <c r="N66" i="3"/>
  <c r="Q65" i="3"/>
  <c r="Q73" i="3" l="1"/>
  <c r="D77" i="3"/>
  <c r="K71" i="73"/>
  <c r="K72" i="73" s="1"/>
  <c r="K73" i="73" s="1"/>
  <c r="K74" i="73" s="1"/>
  <c r="K75" i="73" s="1"/>
  <c r="K76" i="73" s="1"/>
  <c r="K77" i="73" s="1"/>
  <c r="K78" i="73" s="1"/>
  <c r="K79" i="73" s="1"/>
  <c r="K80" i="73" s="1"/>
  <c r="K81" i="73" s="1"/>
  <c r="K82" i="73" s="1"/>
  <c r="O82" i="73" s="1"/>
  <c r="T8" i="73" s="1"/>
  <c r="D69" i="3"/>
  <c r="I58" i="3" s="1"/>
  <c r="G58" i="73"/>
  <c r="S6" i="73" s="1"/>
  <c r="U6" i="73" s="1"/>
  <c r="C71" i="73"/>
  <c r="C72" i="73" s="1"/>
  <c r="C73" i="73" s="1"/>
  <c r="C74" i="73" s="1"/>
  <c r="C75" i="73" s="1"/>
  <c r="C76" i="73" s="1"/>
  <c r="C77" i="73" s="1"/>
  <c r="C78" i="73" s="1"/>
  <c r="C79" i="73" s="1"/>
  <c r="C80" i="73" s="1"/>
  <c r="C81" i="73" s="1"/>
  <c r="C82" i="73" s="1"/>
  <c r="M72" i="3"/>
  <c r="M71" i="3"/>
  <c r="M70" i="3"/>
  <c r="M69" i="3"/>
  <c r="M68" i="3"/>
  <c r="M67" i="3"/>
  <c r="M66" i="3"/>
  <c r="P65" i="3"/>
  <c r="P73" i="3" s="1"/>
  <c r="O65" i="3"/>
  <c r="O73" i="3" s="1"/>
  <c r="N65" i="3"/>
  <c r="N73" i="3" s="1"/>
  <c r="M65" i="3"/>
  <c r="C45" i="3"/>
  <c r="C256" i="16"/>
  <c r="C255" i="16"/>
  <c r="C258" i="16" s="1"/>
  <c r="D52" i="3"/>
  <c r="D51" i="3"/>
  <c r="I83" i="53"/>
  <c r="I83" i="55"/>
  <c r="D161" i="53"/>
  <c r="D102" i="53"/>
  <c r="D11" i="53"/>
  <c r="D10" i="53"/>
  <c r="D9" i="53"/>
  <c r="E195" i="16"/>
  <c r="D195" i="16"/>
  <c r="C195" i="16"/>
  <c r="D130" i="55"/>
  <c r="D121" i="55"/>
  <c r="D122" i="55" s="1"/>
  <c r="B116" i="55" s="1"/>
  <c r="F195" i="16" l="1"/>
  <c r="K83" i="73"/>
  <c r="K84" i="73" s="1"/>
  <c r="K85" i="73" s="1"/>
  <c r="K86" i="73" s="1"/>
  <c r="K87" i="73" s="1"/>
  <c r="K88" i="73" s="1"/>
  <c r="K89" i="73" s="1"/>
  <c r="K90" i="73" s="1"/>
  <c r="K91" i="73" s="1"/>
  <c r="K92" i="73" s="1"/>
  <c r="K93" i="73" s="1"/>
  <c r="K94" i="73" s="1"/>
  <c r="O94" i="73" s="1"/>
  <c r="T9" i="73" s="1"/>
  <c r="C226" i="16"/>
  <c r="E49" i="3"/>
  <c r="D68" i="3"/>
  <c r="G27" i="53"/>
  <c r="G27" i="55"/>
  <c r="D59" i="5"/>
  <c r="H24" i="20"/>
  <c r="M73" i="3"/>
  <c r="R73" i="3" s="1"/>
  <c r="D76" i="3"/>
  <c r="E196" i="16"/>
  <c r="D196" i="16"/>
  <c r="C196" i="16"/>
  <c r="G70" i="73"/>
  <c r="S7" i="73" s="1"/>
  <c r="U7" i="73" s="1"/>
  <c r="C83" i="73"/>
  <c r="C84" i="73" s="1"/>
  <c r="C85" i="73" s="1"/>
  <c r="C86" i="73" s="1"/>
  <c r="C87" i="73" s="1"/>
  <c r="C88" i="73" s="1"/>
  <c r="C89" i="73" s="1"/>
  <c r="C90" i="73" s="1"/>
  <c r="C91" i="73" s="1"/>
  <c r="C92" i="73" s="1"/>
  <c r="C93" i="73" s="1"/>
  <c r="C94" i="73" s="1"/>
  <c r="D12" i="53"/>
  <c r="D173" i="53" s="1"/>
  <c r="D11" i="55"/>
  <c r="D10" i="55"/>
  <c r="D9" i="55"/>
  <c r="K95" i="73" l="1"/>
  <c r="K96" i="73" s="1"/>
  <c r="K97" i="73" s="1"/>
  <c r="K98" i="73" s="1"/>
  <c r="K99" i="73" s="1"/>
  <c r="K100" i="73" s="1"/>
  <c r="K101" i="73" s="1"/>
  <c r="K102" i="73" s="1"/>
  <c r="K103" i="73" s="1"/>
  <c r="K104" i="73" s="1"/>
  <c r="K105" i="73" s="1"/>
  <c r="K106" i="73" s="1"/>
  <c r="O106" i="73" s="1"/>
  <c r="T10" i="73" s="1"/>
  <c r="D67" i="3"/>
  <c r="H25" i="20"/>
  <c r="D75" i="3"/>
  <c r="G82" i="73"/>
  <c r="S8" i="73" s="1"/>
  <c r="U8" i="73" s="1"/>
  <c r="C95" i="73"/>
  <c r="C96" i="73" s="1"/>
  <c r="C97" i="73" s="1"/>
  <c r="C98" i="73" s="1"/>
  <c r="C99" i="73" s="1"/>
  <c r="C100" i="73" s="1"/>
  <c r="C101" i="73" s="1"/>
  <c r="C102" i="73" s="1"/>
  <c r="C103" i="73" s="1"/>
  <c r="C104" i="73" s="1"/>
  <c r="C105" i="73" s="1"/>
  <c r="C106" i="73" s="1"/>
  <c r="K107" i="73"/>
  <c r="K108" i="73" s="1"/>
  <c r="K109" i="73" s="1"/>
  <c r="K110" i="73" s="1"/>
  <c r="K111" i="73" s="1"/>
  <c r="K112" i="73" s="1"/>
  <c r="K113" i="73" s="1"/>
  <c r="K114" i="73" s="1"/>
  <c r="K115" i="73" s="1"/>
  <c r="K116" i="73" s="1"/>
  <c r="K117" i="73" s="1"/>
  <c r="K118" i="73" s="1"/>
  <c r="O118" i="73" s="1"/>
  <c r="D12" i="55"/>
  <c r="D150" i="55" s="1"/>
  <c r="D66" i="3" l="1"/>
  <c r="H26" i="20"/>
  <c r="D60" i="5"/>
  <c r="D74" i="3"/>
  <c r="G94" i="73"/>
  <c r="S9" i="73" s="1"/>
  <c r="U9" i="73" s="1"/>
  <c r="C107" i="73"/>
  <c r="C108" i="73" s="1"/>
  <c r="C109" i="73" s="1"/>
  <c r="C110" i="73" s="1"/>
  <c r="C111" i="73" s="1"/>
  <c r="C112" i="73" s="1"/>
  <c r="C113" i="73" s="1"/>
  <c r="C114" i="73" s="1"/>
  <c r="C115" i="73" s="1"/>
  <c r="C116" i="73" s="1"/>
  <c r="C117" i="73" s="1"/>
  <c r="C118" i="73" s="1"/>
  <c r="T11" i="73"/>
  <c r="K119" i="73"/>
  <c r="K120" i="73" s="1"/>
  <c r="K121" i="73" s="1"/>
  <c r="K122" i="73" s="1"/>
  <c r="K123" i="73" s="1"/>
  <c r="K124" i="73" s="1"/>
  <c r="K125" i="73" s="1"/>
  <c r="K126" i="73" s="1"/>
  <c r="K127" i="73" s="1"/>
  <c r="K128" i="73" s="1"/>
  <c r="K129" i="73" s="1"/>
  <c r="K130" i="73" s="1"/>
  <c r="O130" i="73" s="1"/>
  <c r="D73" i="3" l="1"/>
  <c r="D65" i="3"/>
  <c r="D61" i="5"/>
  <c r="H27" i="20"/>
  <c r="G106" i="73"/>
  <c r="S10" i="73" s="1"/>
  <c r="U10" i="73" s="1"/>
  <c r="C119" i="73"/>
  <c r="C120" i="73" s="1"/>
  <c r="C121" i="73" s="1"/>
  <c r="C122" i="73" s="1"/>
  <c r="C123" i="73" s="1"/>
  <c r="C124" i="73" s="1"/>
  <c r="C125" i="73" s="1"/>
  <c r="C126" i="73" s="1"/>
  <c r="C127" i="73" s="1"/>
  <c r="C128" i="73" s="1"/>
  <c r="C129" i="73" s="1"/>
  <c r="C130" i="73" s="1"/>
  <c r="K131" i="73"/>
  <c r="K132" i="73" s="1"/>
  <c r="K133" i="73" s="1"/>
  <c r="K134" i="73" s="1"/>
  <c r="K135" i="73" s="1"/>
  <c r="K136" i="73" s="1"/>
  <c r="K137" i="73" s="1"/>
  <c r="K138" i="73" s="1"/>
  <c r="K139" i="73" s="1"/>
  <c r="K140" i="73" s="1"/>
  <c r="K141" i="73" s="1"/>
  <c r="K142" i="73" s="1"/>
  <c r="O142" i="73" s="1"/>
  <c r="T12" i="73"/>
  <c r="C3" i="51"/>
  <c r="C200" i="51"/>
  <c r="C206" i="51"/>
  <c r="C203" i="51"/>
  <c r="C93" i="51"/>
  <c r="C33" i="51"/>
  <c r="D64" i="3" l="1"/>
  <c r="H28" i="20"/>
  <c r="G118" i="73"/>
  <c r="S11" i="73" s="1"/>
  <c r="U11" i="73" s="1"/>
  <c r="C131" i="73"/>
  <c r="C132" i="73" s="1"/>
  <c r="C133" i="73" s="1"/>
  <c r="C134" i="73" s="1"/>
  <c r="C135" i="73" s="1"/>
  <c r="C136" i="73" s="1"/>
  <c r="C137" i="73" s="1"/>
  <c r="C138" i="73" s="1"/>
  <c r="C139" i="73" s="1"/>
  <c r="C140" i="73" s="1"/>
  <c r="C141" i="73" s="1"/>
  <c r="C142" i="73" s="1"/>
  <c r="K143" i="73"/>
  <c r="K144" i="73" s="1"/>
  <c r="K145" i="73" s="1"/>
  <c r="K146" i="73" s="1"/>
  <c r="K147" i="73" s="1"/>
  <c r="K148" i="73" s="1"/>
  <c r="K149" i="73" s="1"/>
  <c r="K150" i="73" s="1"/>
  <c r="K151" i="73" s="1"/>
  <c r="K152" i="73" s="1"/>
  <c r="K153" i="73" s="1"/>
  <c r="K154" i="73" s="1"/>
  <c r="O154" i="73" s="1"/>
  <c r="T13" i="73"/>
  <c r="I215" i="2"/>
  <c r="I216" i="2"/>
  <c r="I217" i="2"/>
  <c r="I218" i="2"/>
  <c r="I219" i="2"/>
  <c r="I220" i="2"/>
  <c r="I221" i="2"/>
  <c r="I222" i="2"/>
  <c r="I223" i="2"/>
  <c r="I224" i="2"/>
  <c r="I225" i="2"/>
  <c r="I226" i="2"/>
  <c r="I227" i="2"/>
  <c r="I228" i="2"/>
  <c r="I229" i="2"/>
  <c r="G130" i="73" l="1"/>
  <c r="S12" i="73" s="1"/>
  <c r="U12" i="73" s="1"/>
  <c r="H29" i="20"/>
  <c r="D62" i="5"/>
  <c r="C143" i="73"/>
  <c r="C144" i="73" s="1"/>
  <c r="C145" i="73" s="1"/>
  <c r="C146" i="73" s="1"/>
  <c r="C147" i="73" s="1"/>
  <c r="C148" i="73" s="1"/>
  <c r="C149" i="73" s="1"/>
  <c r="C150" i="73" s="1"/>
  <c r="C151" i="73" s="1"/>
  <c r="C152" i="73" s="1"/>
  <c r="C153" i="73" s="1"/>
  <c r="C154" i="73" s="1"/>
  <c r="K155" i="73"/>
  <c r="K156" i="73" s="1"/>
  <c r="K157" i="73" s="1"/>
  <c r="K158" i="73" s="1"/>
  <c r="K159" i="73" s="1"/>
  <c r="K160" i="73" s="1"/>
  <c r="K161" i="73" s="1"/>
  <c r="K162" i="73" s="1"/>
  <c r="K163" i="73" s="1"/>
  <c r="K164" i="73" s="1"/>
  <c r="K165" i="73" s="1"/>
  <c r="K166" i="73" s="1"/>
  <c r="O166" i="73" s="1"/>
  <c r="T14" i="73"/>
  <c r="H39" i="68"/>
  <c r="K130" i="68" s="1"/>
  <c r="G142" i="73" l="1"/>
  <c r="S13" i="73" s="1"/>
  <c r="U13" i="73" s="1"/>
  <c r="C155" i="73"/>
  <c r="C156" i="73" s="1"/>
  <c r="C157" i="73" s="1"/>
  <c r="C158" i="73" s="1"/>
  <c r="C159" i="73" s="1"/>
  <c r="C160" i="73" s="1"/>
  <c r="C161" i="73" s="1"/>
  <c r="C162" i="73" s="1"/>
  <c r="C163" i="73" s="1"/>
  <c r="C164" i="73" s="1"/>
  <c r="C165" i="73" s="1"/>
  <c r="C166" i="73" s="1"/>
  <c r="T15" i="73"/>
  <c r="K167" i="73"/>
  <c r="K168" i="73" s="1"/>
  <c r="K169" i="73" s="1"/>
  <c r="K170" i="73" s="1"/>
  <c r="K171" i="73" s="1"/>
  <c r="K172" i="73" s="1"/>
  <c r="K173" i="73" s="1"/>
  <c r="K174" i="73" s="1"/>
  <c r="K175" i="73" s="1"/>
  <c r="K176" i="73" s="1"/>
  <c r="K177" i="73" s="1"/>
  <c r="K178" i="73" s="1"/>
  <c r="O178" i="73" s="1"/>
  <c r="C257" i="16"/>
  <c r="I104" i="16"/>
  <c r="I105" i="16"/>
  <c r="I106" i="16"/>
  <c r="I107" i="16"/>
  <c r="I108" i="16"/>
  <c r="I109" i="16"/>
  <c r="I110" i="16"/>
  <c r="I111" i="16"/>
  <c r="I112" i="16"/>
  <c r="I113" i="16"/>
  <c r="I114" i="16"/>
  <c r="I115" i="16"/>
  <c r="I116" i="16"/>
  <c r="I117" i="16"/>
  <c r="I118" i="16"/>
  <c r="I119" i="16"/>
  <c r="I120" i="16"/>
  <c r="I121" i="16"/>
  <c r="I122" i="16"/>
  <c r="I123" i="16"/>
  <c r="I124" i="16"/>
  <c r="I125" i="16"/>
  <c r="I126" i="16"/>
  <c r="I127" i="16"/>
  <c r="I128" i="16"/>
  <c r="I129" i="16"/>
  <c r="I130" i="16"/>
  <c r="I131" i="16"/>
  <c r="I132" i="16"/>
  <c r="I133" i="16"/>
  <c r="I134" i="16"/>
  <c r="I135" i="16"/>
  <c r="I136" i="16"/>
  <c r="I137" i="16"/>
  <c r="I138" i="16"/>
  <c r="I139" i="16"/>
  <c r="I140" i="16"/>
  <c r="I141" i="16"/>
  <c r="I142" i="16"/>
  <c r="I143" i="16"/>
  <c r="I144" i="16"/>
  <c r="I145" i="16"/>
  <c r="I146" i="16"/>
  <c r="I147" i="16"/>
  <c r="I148" i="16"/>
  <c r="I149" i="16"/>
  <c r="I150" i="16"/>
  <c r="I151" i="16"/>
  <c r="I152" i="16"/>
  <c r="I153" i="16"/>
  <c r="I154" i="16"/>
  <c r="I155" i="16"/>
  <c r="I156" i="16"/>
  <c r="I157" i="16"/>
  <c r="I158" i="16"/>
  <c r="I159" i="16"/>
  <c r="I160" i="16"/>
  <c r="I161" i="16"/>
  <c r="I162" i="16"/>
  <c r="I163" i="16"/>
  <c r="I164" i="16"/>
  <c r="I165" i="16"/>
  <c r="I166" i="16"/>
  <c r="I167" i="16"/>
  <c r="I168" i="16"/>
  <c r="I169" i="16"/>
  <c r="I170" i="16"/>
  <c r="I171" i="16"/>
  <c r="I172" i="16"/>
  <c r="I173" i="16"/>
  <c r="I174" i="16"/>
  <c r="I175" i="16"/>
  <c r="I176" i="16"/>
  <c r="I177" i="16"/>
  <c r="I178" i="16"/>
  <c r="I179" i="16"/>
  <c r="I180" i="16"/>
  <c r="I181" i="16"/>
  <c r="I182" i="16"/>
  <c r="I183" i="16"/>
  <c r="I184" i="16"/>
  <c r="I185" i="16"/>
  <c r="I186" i="16"/>
  <c r="I103" i="16"/>
  <c r="I102" i="16"/>
  <c r="I101" i="16"/>
  <c r="I100" i="16"/>
  <c r="I99" i="16"/>
  <c r="I98" i="16"/>
  <c r="I97" i="16"/>
  <c r="I96" i="16"/>
  <c r="I95" i="16"/>
  <c r="I94" i="16"/>
  <c r="I93" i="16"/>
  <c r="I92" i="16"/>
  <c r="I91" i="16"/>
  <c r="I90" i="16"/>
  <c r="I89" i="16"/>
  <c r="I88" i="16"/>
  <c r="I87" i="16"/>
  <c r="G154" i="73" l="1"/>
  <c r="S14" i="73" s="1"/>
  <c r="U14" i="73" s="1"/>
  <c r="C167" i="73"/>
  <c r="C168" i="73" s="1"/>
  <c r="C169" i="73" s="1"/>
  <c r="C170" i="73" s="1"/>
  <c r="C171" i="73" s="1"/>
  <c r="C172" i="73" s="1"/>
  <c r="C173" i="73" s="1"/>
  <c r="C174" i="73" s="1"/>
  <c r="C175" i="73" s="1"/>
  <c r="C176" i="73" s="1"/>
  <c r="C177" i="73" s="1"/>
  <c r="C178" i="73" s="1"/>
  <c r="K179" i="73"/>
  <c r="K180" i="73" s="1"/>
  <c r="K181" i="73" s="1"/>
  <c r="K182" i="73" s="1"/>
  <c r="K183" i="73" s="1"/>
  <c r="K184" i="73" s="1"/>
  <c r="K185" i="73" s="1"/>
  <c r="K186" i="73" s="1"/>
  <c r="K187" i="73" s="1"/>
  <c r="K188" i="73" s="1"/>
  <c r="K189" i="73" s="1"/>
  <c r="T16" i="73"/>
  <c r="G166" i="73" l="1"/>
  <c r="S15" i="73" s="1"/>
  <c r="U15" i="73" s="1"/>
  <c r="C179" i="73"/>
  <c r="C180" i="73" s="1"/>
  <c r="C181" i="73" s="1"/>
  <c r="C182" i="73" s="1"/>
  <c r="C183" i="73" s="1"/>
  <c r="C184" i="73" s="1"/>
  <c r="C185" i="73" s="1"/>
  <c r="C186" i="73" s="1"/>
  <c r="C187" i="73" s="1"/>
  <c r="C188" i="73" s="1"/>
  <c r="C189" i="73" s="1"/>
  <c r="C190" i="73" s="1"/>
  <c r="G178" i="73" l="1"/>
  <c r="S16" i="73" s="1"/>
  <c r="U16" i="73" s="1"/>
  <c r="C191" i="73"/>
  <c r="C192" i="73" s="1"/>
  <c r="C193" i="73" s="1"/>
  <c r="C194" i="73" s="1"/>
  <c r="C195" i="73" s="1"/>
  <c r="C196" i="73" s="1"/>
  <c r="C197" i="73" s="1"/>
  <c r="C198" i="73" s="1"/>
  <c r="C199" i="73" s="1"/>
  <c r="C200" i="73" s="1"/>
  <c r="C201" i="73" s="1"/>
  <c r="C202" i="73" s="1"/>
  <c r="C14" i="70"/>
  <c r="C13" i="70"/>
  <c r="C12" i="70"/>
  <c r="C16" i="70"/>
  <c r="H83" i="70"/>
  <c r="K90" i="70" s="1"/>
  <c r="C87" i="70"/>
  <c r="F48" i="70"/>
  <c r="H47" i="70"/>
  <c r="H40" i="70"/>
  <c r="H21" i="70"/>
  <c r="F41" i="70"/>
  <c r="F22" i="70"/>
  <c r="B37" i="70"/>
  <c r="B38" i="70" s="1"/>
  <c r="C9" i="70"/>
  <c r="A4" i="70" s="1"/>
  <c r="C8" i="70"/>
  <c r="C7" i="70"/>
  <c r="D7" i="70" s="1"/>
  <c r="A3" i="70"/>
  <c r="F40" i="68"/>
  <c r="C85" i="68"/>
  <c r="E81" i="68"/>
  <c r="C81" i="68"/>
  <c r="E77" i="68"/>
  <c r="C77" i="68"/>
  <c r="G190" i="73" l="1"/>
  <c r="S17" i="73" s="1"/>
  <c r="U17" i="73" s="1"/>
  <c r="C203" i="73"/>
  <c r="C204" i="73" s="1"/>
  <c r="C205" i="73" s="1"/>
  <c r="C206" i="73" s="1"/>
  <c r="C207" i="73" s="1"/>
  <c r="C208" i="73" s="1"/>
  <c r="C209" i="73" s="1"/>
  <c r="C210" i="73" s="1"/>
  <c r="C211" i="73" s="1"/>
  <c r="C212" i="73" s="1"/>
  <c r="C213" i="73" s="1"/>
  <c r="C88" i="70"/>
  <c r="A85" i="70" s="1"/>
  <c r="A57" i="70"/>
  <c r="F56" i="70" s="1"/>
  <c r="I46" i="70"/>
  <c r="I39" i="70"/>
  <c r="I38" i="68"/>
  <c r="C14" i="68"/>
  <c r="C13" i="68"/>
  <c r="C30" i="68"/>
  <c r="A27" i="68" s="1"/>
  <c r="C12" i="68"/>
  <c r="D12" i="68" s="1"/>
  <c r="C9" i="68"/>
  <c r="A4" i="68" s="1"/>
  <c r="C8" i="68"/>
  <c r="C7" i="68"/>
  <c r="D7" i="68" s="1"/>
  <c r="A3" i="68"/>
  <c r="H21" i="6"/>
  <c r="H72" i="6"/>
  <c r="H90" i="6"/>
  <c r="C174" i="6"/>
  <c r="C171" i="6"/>
  <c r="A161" i="6"/>
  <c r="A146" i="6"/>
  <c r="A136" i="6"/>
  <c r="A167" i="6" l="1"/>
  <c r="C214" i="73"/>
  <c r="C215" i="73" s="1"/>
  <c r="C216" i="73" s="1"/>
  <c r="C217" i="73" s="1"/>
  <c r="C218" i="73" s="1"/>
  <c r="C219" i="73" s="1"/>
  <c r="C220" i="73" s="1"/>
  <c r="C221" i="73" s="1"/>
  <c r="C222" i="73" s="1"/>
  <c r="C223" i="73" s="1"/>
  <c r="C224" i="73" s="1"/>
  <c r="C225" i="73" s="1"/>
  <c r="C226" i="73" s="1"/>
  <c r="C227" i="73" s="1"/>
  <c r="C228" i="73" s="1"/>
  <c r="C229" i="73" s="1"/>
  <c r="C230" i="73" s="1"/>
  <c r="C231" i="73" s="1"/>
  <c r="C232" i="73" s="1"/>
  <c r="C233" i="73" s="1"/>
  <c r="C234" i="73" s="1"/>
  <c r="C235" i="73" s="1"/>
  <c r="C236" i="73" s="1"/>
  <c r="C237" i="73" s="1"/>
  <c r="C238" i="73" s="1"/>
  <c r="C239" i="73" s="1"/>
  <c r="C240" i="73" s="1"/>
  <c r="C241" i="73" s="1"/>
  <c r="C242" i="73" s="1"/>
  <c r="C243" i="73" s="1"/>
  <c r="C244" i="73" s="1"/>
  <c r="C245" i="73" s="1"/>
  <c r="C246" i="73" s="1"/>
  <c r="C247" i="73" s="1"/>
  <c r="C248" i="73" s="1"/>
  <c r="C249" i="73" s="1"/>
  <c r="C250" i="73" s="1"/>
  <c r="C251" i="73" s="1"/>
  <c r="C252" i="73" s="1"/>
  <c r="C253" i="73" s="1"/>
  <c r="C254" i="73" s="1"/>
  <c r="C255" i="73" s="1"/>
  <c r="C256" i="73" s="1"/>
  <c r="C257" i="73" s="1"/>
  <c r="C258" i="73" s="1"/>
  <c r="C259" i="73" s="1"/>
  <c r="C260" i="73" s="1"/>
  <c r="C261" i="73" s="1"/>
  <c r="C262" i="73" s="1"/>
  <c r="C263" i="73" s="1"/>
  <c r="C264" i="73" s="1"/>
  <c r="C265" i="73" s="1"/>
  <c r="C266" i="73" s="1"/>
  <c r="C267" i="73" s="1"/>
  <c r="C268" i="73" s="1"/>
  <c r="C269" i="73" s="1"/>
  <c r="C270" i="73" s="1"/>
  <c r="C271" i="73" s="1"/>
  <c r="C272" i="73" s="1"/>
  <c r="C273" i="73" s="1"/>
  <c r="C274" i="73" s="1"/>
  <c r="C275" i="73" s="1"/>
  <c r="C276" i="73" s="1"/>
  <c r="C277" i="73" s="1"/>
  <c r="C278" i="73" s="1"/>
  <c r="C279" i="73" s="1"/>
  <c r="C280" i="73" s="1"/>
  <c r="C281" i="73" s="1"/>
  <c r="C282" i="73" s="1"/>
  <c r="C283" i="73" s="1"/>
  <c r="C284" i="73" s="1"/>
  <c r="C285" i="73" s="1"/>
  <c r="C286" i="73" s="1"/>
  <c r="C287" i="73" s="1"/>
  <c r="C288" i="73" s="1"/>
  <c r="C289" i="73" s="1"/>
  <c r="C290" i="73" s="1"/>
  <c r="C291" i="73" s="1"/>
  <c r="C292" i="73" s="1"/>
  <c r="C293" i="73" s="1"/>
  <c r="C294" i="73" s="1"/>
  <c r="C295" i="73" s="1"/>
  <c r="C296" i="73" s="1"/>
  <c r="C297" i="73" s="1"/>
  <c r="C298" i="73" s="1"/>
  <c r="C299" i="73" s="1"/>
  <c r="C300" i="73" s="1"/>
  <c r="C301" i="73" s="1"/>
  <c r="C302" i="73" s="1"/>
  <c r="C303" i="73" s="1"/>
  <c r="C304" i="73" s="1"/>
  <c r="C305" i="73" s="1"/>
  <c r="C306" i="73" s="1"/>
  <c r="C307" i="73" s="1"/>
  <c r="C308" i="73" s="1"/>
  <c r="C309" i="73" s="1"/>
  <c r="C310" i="73" s="1"/>
  <c r="C311" i="73" s="1"/>
  <c r="C312" i="73" s="1"/>
  <c r="C313" i="73" s="1"/>
  <c r="C314" i="73" s="1"/>
  <c r="C315" i="73" s="1"/>
  <c r="C316" i="73" s="1"/>
  <c r="C317" i="73" s="1"/>
  <c r="C318" i="73" s="1"/>
  <c r="C319" i="73" s="1"/>
  <c r="C320" i="73" s="1"/>
  <c r="C321" i="73" s="1"/>
  <c r="C322" i="73" s="1"/>
  <c r="C323" i="73" s="1"/>
  <c r="C324" i="73" s="1"/>
  <c r="C325" i="73" s="1"/>
  <c r="C326" i="73" s="1"/>
  <c r="C327" i="73" s="1"/>
  <c r="C328" i="73" s="1"/>
  <c r="C329" i="73" s="1"/>
  <c r="C330" i="73" s="1"/>
  <c r="C331" i="73" s="1"/>
  <c r="C332" i="73" s="1"/>
  <c r="C333" i="73" s="1"/>
  <c r="C334" i="73" s="1"/>
  <c r="C335" i="73" s="1"/>
  <c r="C336" i="73" s="1"/>
  <c r="C337" i="73" s="1"/>
  <c r="C338" i="73" s="1"/>
  <c r="C339" i="73" s="1"/>
  <c r="C340" i="73" s="1"/>
  <c r="C341" i="73" s="1"/>
  <c r="C342" i="73" s="1"/>
  <c r="C343" i="73" s="1"/>
  <c r="C344" i="73" s="1"/>
  <c r="C345" i="73" s="1"/>
  <c r="C346" i="73" s="1"/>
  <c r="C347" i="73" s="1"/>
  <c r="C348" i="73" s="1"/>
  <c r="C349" i="73" s="1"/>
  <c r="C350" i="73" s="1"/>
  <c r="C351" i="73" s="1"/>
  <c r="C352" i="73" s="1"/>
  <c r="C353" i="73" s="1"/>
  <c r="C354" i="73" s="1"/>
  <c r="C355" i="73" s="1"/>
  <c r="C356" i="73" s="1"/>
  <c r="C357" i="73" s="1"/>
  <c r="C358" i="73" s="1"/>
  <c r="C359" i="73" s="1"/>
  <c r="C360" i="73" s="1"/>
  <c r="C361" i="73" s="1"/>
  <c r="C362" i="73" s="1"/>
  <c r="C363" i="73" s="1"/>
  <c r="C364" i="73" s="1"/>
  <c r="C365" i="73" s="1"/>
  <c r="C366" i="73" s="1"/>
  <c r="C367" i="73" s="1"/>
  <c r="C368" i="73" s="1"/>
  <c r="C369" i="73" s="1"/>
  <c r="C370" i="73" s="1"/>
  <c r="C371" i="73" s="1"/>
  <c r="C372" i="73" s="1"/>
  <c r="C373" i="73" s="1"/>
  <c r="C374" i="73" s="1"/>
  <c r="C375" i="73" s="1"/>
  <c r="C376" i="73" s="1"/>
  <c r="C377" i="73" s="1"/>
  <c r="C378" i="73" s="1"/>
  <c r="C379" i="73" s="1"/>
  <c r="C380" i="73" s="1"/>
  <c r="C381" i="73" s="1"/>
  <c r="C382" i="73" s="1"/>
  <c r="C383" i="73" s="1"/>
  <c r="C384" i="73" s="1"/>
  <c r="C385" i="73" s="1"/>
  <c r="C386" i="73" s="1"/>
  <c r="C387" i="73" s="1"/>
  <c r="C388" i="73" s="1"/>
  <c r="C389" i="73" s="1"/>
  <c r="C390" i="73" s="1"/>
  <c r="C391" i="73" s="1"/>
  <c r="C392" i="73" s="1"/>
  <c r="C393" i="73" s="1"/>
  <c r="C394" i="73" s="1"/>
  <c r="C395" i="73" s="1"/>
  <c r="C396" i="73" s="1"/>
  <c r="C397" i="73" s="1"/>
  <c r="C398" i="73" s="1"/>
  <c r="C399" i="73" s="1"/>
  <c r="C400" i="73" s="1"/>
  <c r="C401" i="73" s="1"/>
  <c r="C402" i="73" s="1"/>
  <c r="C403" i="73" s="1"/>
  <c r="C404" i="73" s="1"/>
  <c r="C405" i="73" s="1"/>
  <c r="C406" i="73" s="1"/>
  <c r="C407" i="73" s="1"/>
  <c r="C408" i="73" s="1"/>
  <c r="C409" i="73" s="1"/>
  <c r="C410" i="73" s="1"/>
  <c r="C411" i="73" s="1"/>
  <c r="C412" i="73" s="1"/>
  <c r="C413" i="73" s="1"/>
  <c r="C414" i="73" s="1"/>
  <c r="C415" i="73" s="1"/>
  <c r="C416" i="73" s="1"/>
  <c r="C417" i="73" s="1"/>
  <c r="C418" i="73" s="1"/>
  <c r="C419" i="73" s="1"/>
  <c r="C420" i="73" s="1"/>
  <c r="C421" i="73" s="1"/>
  <c r="C422" i="73" s="1"/>
  <c r="C423" i="73" s="1"/>
  <c r="C424" i="73" s="1"/>
  <c r="C425" i="73" s="1"/>
  <c r="C426" i="73" s="1"/>
  <c r="C427" i="73" s="1"/>
  <c r="C428" i="73" s="1"/>
  <c r="C429" i="73" s="1"/>
  <c r="C430" i="73" s="1"/>
  <c r="C431" i="73" s="1"/>
  <c r="C432" i="73" s="1"/>
  <c r="C433" i="73" s="1"/>
  <c r="C434" i="73" s="1"/>
  <c r="C435" i="73" s="1"/>
  <c r="C436" i="73" s="1"/>
  <c r="C437" i="73" s="1"/>
  <c r="C438" i="73" s="1"/>
  <c r="C439" i="73" s="1"/>
  <c r="C440" i="73" s="1"/>
  <c r="C441" i="73" s="1"/>
  <c r="C442" i="73" s="1"/>
  <c r="C443" i="73" s="1"/>
  <c r="C444" i="73" s="1"/>
  <c r="C445" i="73" s="1"/>
  <c r="C446" i="73" s="1"/>
  <c r="C447" i="73" s="1"/>
  <c r="C448" i="73" s="1"/>
  <c r="C449" i="73" s="1"/>
  <c r="C450" i="73" s="1"/>
  <c r="C451" i="73" s="1"/>
  <c r="C452" i="73" s="1"/>
  <c r="C453" i="73" s="1"/>
  <c r="C454" i="73" s="1"/>
  <c r="C455" i="73" s="1"/>
  <c r="C456" i="73" s="1"/>
  <c r="C457" i="73" s="1"/>
  <c r="C458" i="73" s="1"/>
  <c r="C459" i="73" s="1"/>
  <c r="C460" i="73" s="1"/>
  <c r="C461" i="73" s="1"/>
  <c r="C462" i="73" s="1"/>
  <c r="C463" i="73" s="1"/>
  <c r="C464" i="73" s="1"/>
  <c r="C465" i="73" s="1"/>
  <c r="C466" i="73" s="1"/>
  <c r="C467" i="73" s="1"/>
  <c r="C468" i="73" s="1"/>
  <c r="C469" i="73" s="1"/>
  <c r="C470" i="73" s="1"/>
  <c r="C471" i="73" s="1"/>
  <c r="C472" i="73" s="1"/>
  <c r="C473" i="73" s="1"/>
  <c r="C474" i="73" s="1"/>
  <c r="C475" i="73" s="1"/>
  <c r="C476" i="73" s="1"/>
  <c r="C477" i="73" s="1"/>
  <c r="C478" i="73" s="1"/>
  <c r="C479" i="73" s="1"/>
  <c r="C480" i="73" s="1"/>
  <c r="C481" i="73" s="1"/>
  <c r="C482" i="73" s="1"/>
  <c r="C483" i="73" s="1"/>
  <c r="C484" i="73" s="1"/>
  <c r="C485" i="73" s="1"/>
  <c r="C486" i="73" s="1"/>
  <c r="C487" i="73" s="1"/>
  <c r="C488" i="73" s="1"/>
  <c r="C489" i="73" s="1"/>
  <c r="C5" i="73"/>
  <c r="G202" i="73"/>
  <c r="S18" i="73" s="1"/>
  <c r="U18" i="73" s="1"/>
  <c r="C106" i="8" s="1" a="1"/>
  <c r="H106" i="8" s="1"/>
  <c r="F84" i="70"/>
  <c r="I82" i="70" s="1"/>
  <c r="I54" i="70"/>
  <c r="C119" i="6"/>
  <c r="C117" i="6" s="1"/>
  <c r="A115" i="6"/>
  <c r="F114" i="6" s="1"/>
  <c r="N106" i="8" l="1"/>
  <c r="L106" i="8"/>
  <c r="Q106" i="8"/>
  <c r="E106" i="8"/>
  <c r="S106" i="8"/>
  <c r="R106" i="8"/>
  <c r="J106" i="8"/>
  <c r="F106" i="8"/>
  <c r="C106" i="8"/>
  <c r="M106" i="8"/>
  <c r="I106" i="8"/>
  <c r="P106" i="8"/>
  <c r="K106" i="8"/>
  <c r="D106" i="8"/>
  <c r="O106" i="8"/>
  <c r="G106" i="8"/>
  <c r="C63" i="51"/>
  <c r="C64" i="51"/>
  <c r="C62" i="51"/>
  <c r="C61" i="51"/>
  <c r="C60" i="51"/>
  <c r="C59" i="51"/>
  <c r="C58" i="51"/>
  <c r="C57" i="51"/>
  <c r="C49" i="51"/>
  <c r="C48" i="51"/>
  <c r="C47" i="51"/>
  <c r="C46" i="51"/>
  <c r="C88" i="51"/>
  <c r="C40" i="51"/>
  <c r="C41" i="51"/>
  <c r="C75" i="51"/>
  <c r="C76" i="51"/>
  <c r="C77" i="51"/>
  <c r="C39" i="51"/>
  <c r="C28" i="51"/>
  <c r="C29" i="51"/>
  <c r="C30" i="51"/>
  <c r="C31" i="51"/>
  <c r="C32" i="51"/>
  <c r="C27" i="51"/>
  <c r="C26" i="51"/>
  <c r="C24" i="51"/>
  <c r="C25" i="51"/>
  <c r="C22" i="51"/>
  <c r="C16" i="51"/>
  <c r="C19" i="51"/>
  <c r="B3" i="12"/>
  <c r="B3" i="56"/>
  <c r="C3" i="11"/>
  <c r="C3" i="7"/>
  <c r="B3" i="21"/>
  <c r="B3" i="37"/>
  <c r="B3" i="10"/>
  <c r="C3" i="2"/>
  <c r="B3" i="8"/>
  <c r="B3" i="5"/>
  <c r="C3" i="3"/>
  <c r="B3" i="16"/>
  <c r="C3" i="9"/>
  <c r="C7" i="20"/>
  <c r="C74" i="51" l="1"/>
  <c r="H48" i="6"/>
  <c r="K202" i="6" s="1"/>
  <c r="H17" i="20" l="1"/>
  <c r="H16" i="20"/>
  <c r="H15" i="20"/>
  <c r="H14" i="20"/>
  <c r="H13" i="20"/>
  <c r="C39" i="20"/>
  <c r="C23" i="51"/>
  <c r="I11" i="9"/>
  <c r="E36" i="16" l="1"/>
  <c r="E35" i="16"/>
  <c r="E62" i="9"/>
  <c r="E61" i="9"/>
  <c r="D12" i="9"/>
  <c r="D11" i="9"/>
  <c r="C11" i="20"/>
  <c r="H10" i="20"/>
  <c r="H8" i="20"/>
  <c r="C20" i="51" l="1"/>
  <c r="C13" i="6"/>
  <c r="D13" i="6" s="1"/>
  <c r="C53" i="6"/>
  <c r="A50" i="6" s="1"/>
  <c r="A92" i="6"/>
  <c r="D53" i="3"/>
  <c r="F69" i="6"/>
  <c r="F68" i="6"/>
  <c r="F67" i="6"/>
  <c r="F66" i="6"/>
  <c r="F65" i="6"/>
  <c r="F64" i="6"/>
  <c r="F63" i="6"/>
  <c r="C15" i="6"/>
  <c r="D15" i="6" s="1"/>
  <c r="C115" i="68" l="1"/>
  <c r="C89" i="51"/>
  <c r="C18" i="51"/>
  <c r="C17" i="51"/>
  <c r="F70" i="6"/>
  <c r="A61" i="6" s="1"/>
  <c r="C9" i="6"/>
  <c r="F91" i="6" l="1"/>
  <c r="I89" i="6" s="1"/>
  <c r="D27" i="7"/>
  <c r="D26" i="7"/>
  <c r="D29" i="7" s="1"/>
  <c r="C17" i="37"/>
  <c r="C9" i="8"/>
  <c r="C7" i="8"/>
  <c r="G25" i="5"/>
  <c r="H422" i="3"/>
  <c r="J93" i="15"/>
  <c r="J92" i="15"/>
  <c r="J91" i="15"/>
  <c r="J90" i="15"/>
  <c r="K89" i="15"/>
  <c r="J89" i="15"/>
  <c r="K88" i="15"/>
  <c r="J88" i="15"/>
  <c r="K87" i="15"/>
  <c r="J87" i="15"/>
  <c r="K86" i="15"/>
  <c r="J86" i="15"/>
  <c r="J85" i="15"/>
  <c r="J84" i="15"/>
  <c r="J83" i="15"/>
  <c r="J82" i="15"/>
  <c r="E21" i="5" l="1"/>
  <c r="D21" i="5"/>
  <c r="E19" i="5"/>
  <c r="D19" i="5"/>
  <c r="D16" i="5"/>
  <c r="D18" i="5"/>
  <c r="E18" i="5"/>
  <c r="E16" i="5"/>
  <c r="C26" i="75"/>
  <c r="D26" i="75" s="1"/>
  <c r="C32" i="74"/>
  <c r="D32" i="74" s="1"/>
  <c r="C26" i="74"/>
  <c r="D26" i="74" s="1"/>
  <c r="C32" i="75"/>
  <c r="D32" i="75" s="1"/>
  <c r="E20" i="16"/>
  <c r="D61" i="3" l="1"/>
  <c r="D60" i="3"/>
  <c r="D58" i="3"/>
  <c r="D50" i="3"/>
  <c r="E191" i="16"/>
  <c r="E190" i="16"/>
  <c r="C107" i="6" l="1"/>
  <c r="C109" i="6" s="1"/>
  <c r="C107" i="75"/>
  <c r="C109" i="75" s="1"/>
  <c r="C107" i="74"/>
  <c r="C109" i="74" s="1"/>
  <c r="F58" i="3"/>
  <c r="C95" i="51"/>
  <c r="F60" i="3"/>
  <c r="C97" i="51"/>
  <c r="F57" i="3"/>
  <c r="F55" i="3"/>
  <c r="F61" i="3"/>
  <c r="F59" i="3"/>
  <c r="F56" i="3"/>
  <c r="F79" i="3"/>
  <c r="F78" i="3"/>
  <c r="F70" i="3"/>
  <c r="C259" i="16"/>
  <c r="I59" i="3"/>
  <c r="F69" i="3"/>
  <c r="F77" i="3"/>
  <c r="F68" i="3"/>
  <c r="F76" i="3"/>
  <c r="F67" i="3"/>
  <c r="F75" i="3"/>
  <c r="F74" i="3"/>
  <c r="F66" i="3"/>
  <c r="I53" i="3"/>
  <c r="I52" i="3" s="1"/>
  <c r="F65" i="3"/>
  <c r="F73" i="3"/>
  <c r="F64" i="3"/>
  <c r="C114" i="68"/>
  <c r="C117" i="68" s="1"/>
  <c r="C138" i="68" s="1"/>
  <c r="C23" i="20"/>
  <c r="F53" i="3"/>
  <c r="C96" i="51"/>
  <c r="C108" i="51"/>
  <c r="C92" i="51"/>
  <c r="C109" i="51"/>
  <c r="C110" i="51"/>
  <c r="C107" i="51"/>
  <c r="B183" i="53"/>
  <c r="B159" i="55"/>
  <c r="C111" i="51"/>
  <c r="C106" i="51"/>
  <c r="C112" i="51"/>
  <c r="C94" i="51"/>
  <c r="E192" i="16"/>
  <c r="AI59" i="15"/>
  <c r="AI64" i="15" s="1"/>
  <c r="AG59" i="15"/>
  <c r="AG65" i="15" s="1"/>
  <c r="AE59" i="15"/>
  <c r="AE65" i="15" s="1"/>
  <c r="AC59" i="15"/>
  <c r="AC63" i="15" s="1"/>
  <c r="AI51" i="15"/>
  <c r="AG51" i="15"/>
  <c r="AE51" i="15"/>
  <c r="AC51" i="15"/>
  <c r="AI43" i="15"/>
  <c r="AG43" i="15"/>
  <c r="AE43" i="15"/>
  <c r="AC43" i="15"/>
  <c r="AI35" i="15"/>
  <c r="AG35" i="15"/>
  <c r="AE35" i="15"/>
  <c r="AC35" i="15"/>
  <c r="AI27" i="15"/>
  <c r="AG27" i="15"/>
  <c r="AE27" i="15"/>
  <c r="AC27" i="15"/>
  <c r="AI19" i="15"/>
  <c r="AG19" i="15"/>
  <c r="AE19" i="15"/>
  <c r="AE22" i="15" s="1"/>
  <c r="AC19" i="15"/>
  <c r="C118" i="68" l="1"/>
  <c r="A112" i="68" s="1"/>
  <c r="F111" i="68" s="1"/>
  <c r="C76" i="75"/>
  <c r="C77" i="75" s="1"/>
  <c r="A74" i="75" s="1"/>
  <c r="C76" i="74"/>
  <c r="C77" i="74" s="1"/>
  <c r="A74" i="74" s="1"/>
  <c r="C81" i="6"/>
  <c r="C81" i="74"/>
  <c r="C82" i="74" s="1"/>
  <c r="A79" i="74" s="1"/>
  <c r="C81" i="75"/>
  <c r="C82" i="75" s="1"/>
  <c r="A79" i="75" s="1"/>
  <c r="C82" i="6"/>
  <c r="A79" i="6" s="1"/>
  <c r="G22" i="53"/>
  <c r="G19" i="55"/>
  <c r="G19" i="53"/>
  <c r="I100" i="68"/>
  <c r="G22" i="55"/>
  <c r="AC22" i="15"/>
  <c r="AC20" i="15"/>
  <c r="E64" i="5"/>
  <c r="AI63" i="15"/>
  <c r="AC61" i="15"/>
  <c r="AC62" i="15"/>
  <c r="AI65" i="15"/>
  <c r="AI60" i="15"/>
  <c r="AI61" i="15"/>
  <c r="AI62" i="15"/>
  <c r="AG60" i="15"/>
  <c r="AG61" i="15"/>
  <c r="AG62" i="15"/>
  <c r="AG63" i="15"/>
  <c r="AG64" i="15"/>
  <c r="AE60" i="15"/>
  <c r="AE61" i="15"/>
  <c r="AE62" i="15"/>
  <c r="AE63" i="15"/>
  <c r="AE64" i="15"/>
  <c r="AC64" i="15"/>
  <c r="AC65" i="15"/>
  <c r="AC60" i="15"/>
  <c r="I109" i="68" l="1"/>
  <c r="C76" i="6"/>
  <c r="C77" i="6" s="1"/>
  <c r="AB5" i="15"/>
  <c r="E65" i="5" l="1"/>
  <c r="AH12" i="15"/>
  <c r="AG12" i="15"/>
  <c r="AF12" i="15"/>
  <c r="AE12" i="15"/>
  <c r="AD12" i="15"/>
  <c r="AC12" i="15"/>
  <c r="C84" i="51"/>
  <c r="F94" i="53"/>
  <c r="F91" i="53"/>
  <c r="B86" i="53" s="1"/>
  <c r="D93" i="55"/>
  <c r="G26" i="53"/>
  <c r="G26" i="55"/>
  <c r="G9" i="53"/>
  <c r="D174" i="53" s="1"/>
  <c r="D175" i="53" s="1"/>
  <c r="D177" i="53" s="1"/>
  <c r="D180" i="53" s="1"/>
  <c r="B169" i="53" s="1"/>
  <c r="G9" i="55"/>
  <c r="D151" i="55" s="1"/>
  <c r="D7" i="53"/>
  <c r="D7" i="55"/>
  <c r="AI56" i="15"/>
  <c r="AG56" i="15"/>
  <c r="AE57" i="15"/>
  <c r="AC57" i="15"/>
  <c r="AI49" i="15"/>
  <c r="AG49" i="15"/>
  <c r="AE48" i="15"/>
  <c r="AC49" i="15"/>
  <c r="AI40" i="15"/>
  <c r="AG40" i="15"/>
  <c r="AE41" i="15"/>
  <c r="AC41" i="15"/>
  <c r="AI33" i="15"/>
  <c r="AG33" i="15"/>
  <c r="AE32" i="15"/>
  <c r="AC33" i="15"/>
  <c r="AI24" i="15"/>
  <c r="AG24" i="15"/>
  <c r="AE25" i="15"/>
  <c r="AC25" i="15"/>
  <c r="E66" i="5" l="1"/>
  <c r="AG44" i="15"/>
  <c r="AI44" i="15"/>
  <c r="AG48" i="15"/>
  <c r="AE20" i="15"/>
  <c r="AG28" i="15"/>
  <c r="AG30" i="15"/>
  <c r="AI30" i="15"/>
  <c r="AC44" i="15"/>
  <c r="AI28" i="15"/>
  <c r="AE44" i="15"/>
  <c r="AC30" i="15"/>
  <c r="AC46" i="15"/>
  <c r="AG46" i="15"/>
  <c r="AI46" i="15"/>
  <c r="AC32" i="15"/>
  <c r="AG32" i="15"/>
  <c r="AC28" i="15"/>
  <c r="AI32" i="15"/>
  <c r="AC48" i="15"/>
  <c r="AG21" i="15"/>
  <c r="AG23" i="15"/>
  <c r="AG25" i="15"/>
  <c r="AG37" i="15"/>
  <c r="AG39" i="15"/>
  <c r="AG41" i="15"/>
  <c r="AG53" i="15"/>
  <c r="AG55" i="15"/>
  <c r="AG57" i="15"/>
  <c r="AI21" i="15"/>
  <c r="AI23" i="15"/>
  <c r="AI25" i="15"/>
  <c r="AI37" i="15"/>
  <c r="AI39" i="15"/>
  <c r="AI41" i="15"/>
  <c r="AI48" i="15"/>
  <c r="AI53" i="15"/>
  <c r="AI55" i="15"/>
  <c r="AI57" i="15"/>
  <c r="AC16" i="15"/>
  <c r="AC24" i="15"/>
  <c r="AC29" i="15"/>
  <c r="AC31" i="15"/>
  <c r="AC36" i="15"/>
  <c r="AC38" i="15"/>
  <c r="AC40" i="15"/>
  <c r="AC45" i="15"/>
  <c r="AC47" i="15"/>
  <c r="AC52" i="15"/>
  <c r="AC54" i="15"/>
  <c r="AC56" i="15"/>
  <c r="AD16" i="15"/>
  <c r="AE24" i="15"/>
  <c r="AE29" i="15"/>
  <c r="AE31" i="15"/>
  <c r="AE33" i="15"/>
  <c r="AE36" i="15"/>
  <c r="AE38" i="15"/>
  <c r="AE40" i="15"/>
  <c r="AE45" i="15"/>
  <c r="AE47" i="15"/>
  <c r="AE49" i="15"/>
  <c r="AE52" i="15"/>
  <c r="AE54" i="15"/>
  <c r="AE56" i="15"/>
  <c r="AE16" i="15"/>
  <c r="AG20" i="15"/>
  <c r="AG22" i="15"/>
  <c r="AG29" i="15"/>
  <c r="AG31" i="15"/>
  <c r="AG36" i="15"/>
  <c r="AG38" i="15"/>
  <c r="AG45" i="15"/>
  <c r="AG47" i="15"/>
  <c r="AG52" i="15"/>
  <c r="AG54" i="15"/>
  <c r="AF16" i="15"/>
  <c r="AI20" i="15"/>
  <c r="AI22" i="15"/>
  <c r="AI29" i="15"/>
  <c r="AI31" i="15"/>
  <c r="AI36" i="15"/>
  <c r="AI38" i="15"/>
  <c r="AI45" i="15"/>
  <c r="AI47" i="15"/>
  <c r="AI52" i="15"/>
  <c r="AI54" i="15"/>
  <c r="AG16" i="15"/>
  <c r="AC21" i="15"/>
  <c r="AC23" i="15"/>
  <c r="AC37" i="15"/>
  <c r="AC39" i="15"/>
  <c r="AC53" i="15"/>
  <c r="AC55" i="15"/>
  <c r="AH16" i="15"/>
  <c r="AE21" i="15"/>
  <c r="AE23" i="15"/>
  <c r="AE28" i="15"/>
  <c r="AE30" i="15"/>
  <c r="AE37" i="15"/>
  <c r="AE39" i="15"/>
  <c r="AE46" i="15"/>
  <c r="AE53" i="15"/>
  <c r="AE55" i="15"/>
  <c r="AG17" i="15" l="1"/>
  <c r="AG13" i="15"/>
  <c r="AG14" i="15"/>
  <c r="AG15" i="15"/>
  <c r="AG11" i="15"/>
  <c r="AG8" i="15"/>
  <c r="AG9" i="15"/>
  <c r="AG10" i="15"/>
  <c r="AC14" i="15"/>
  <c r="AC15" i="15"/>
  <c r="AC17" i="15"/>
  <c r="AC13" i="15"/>
  <c r="AC9" i="15"/>
  <c r="AC10" i="15"/>
  <c r="AC11" i="15"/>
  <c r="AC8" i="15"/>
  <c r="AD14" i="15"/>
  <c r="AD15" i="15"/>
  <c r="AD17" i="15"/>
  <c r="AD13" i="15"/>
  <c r="AD9" i="15"/>
  <c r="AD10" i="15"/>
  <c r="AD11" i="15"/>
  <c r="AD8" i="15"/>
  <c r="AH17" i="15"/>
  <c r="AH13" i="15"/>
  <c r="AH14" i="15"/>
  <c r="AH15" i="15"/>
  <c r="AH11" i="15"/>
  <c r="AH8" i="15"/>
  <c r="AH9" i="15"/>
  <c r="AH10" i="15"/>
  <c r="AF15" i="15"/>
  <c r="AF17" i="15"/>
  <c r="AF13" i="15"/>
  <c r="AF14" i="15"/>
  <c r="AF10" i="15"/>
  <c r="AF11" i="15"/>
  <c r="AF8" i="15"/>
  <c r="AF9" i="15"/>
  <c r="AE15" i="15"/>
  <c r="AE17" i="15"/>
  <c r="AE13" i="15"/>
  <c r="AE14" i="15"/>
  <c r="AE10" i="15"/>
  <c r="AE11" i="15"/>
  <c r="AE8" i="15"/>
  <c r="AE9" i="15"/>
  <c r="E67" i="5" l="1"/>
  <c r="B118" i="53"/>
  <c r="K12" i="53"/>
  <c r="F93" i="55"/>
  <c r="K12" i="55"/>
  <c r="D152" i="55"/>
  <c r="D153" i="55" s="1"/>
  <c r="D10" i="9" l="1"/>
  <c r="F130" i="3" l="1"/>
  <c r="C320" i="51" s="1"/>
  <c r="J203" i="3"/>
  <c r="K20" i="9"/>
  <c r="K21" i="9"/>
  <c r="K22" i="9"/>
  <c r="K23" i="9"/>
  <c r="K24" i="9"/>
  <c r="K25" i="9"/>
  <c r="K26" i="9"/>
  <c r="K27" i="9"/>
  <c r="K28" i="9"/>
  <c r="K29" i="9"/>
  <c r="K30" i="9"/>
  <c r="K31" i="9"/>
  <c r="K32" i="9"/>
  <c r="K33" i="9"/>
  <c r="K34" i="9"/>
  <c r="K35" i="9"/>
  <c r="K36" i="9"/>
  <c r="K37" i="9"/>
  <c r="K38" i="9"/>
  <c r="K39" i="9"/>
  <c r="K40" i="9"/>
  <c r="K41" i="9"/>
  <c r="K42" i="9"/>
  <c r="K43" i="9"/>
  <c r="K44" i="9"/>
  <c r="J20" i="9"/>
  <c r="J21" i="9"/>
  <c r="J22" i="9"/>
  <c r="J23" i="9"/>
  <c r="J24" i="9"/>
  <c r="J25" i="9"/>
  <c r="J26" i="9"/>
  <c r="J27" i="9"/>
  <c r="J28" i="9"/>
  <c r="J29" i="9"/>
  <c r="J30" i="9"/>
  <c r="J31" i="9"/>
  <c r="J32" i="9"/>
  <c r="J33" i="9"/>
  <c r="J34" i="9"/>
  <c r="J35" i="9"/>
  <c r="J36" i="9"/>
  <c r="J37" i="9"/>
  <c r="J38" i="9"/>
  <c r="J39" i="9"/>
  <c r="J40" i="9"/>
  <c r="J41" i="9"/>
  <c r="J42" i="9"/>
  <c r="J43" i="9"/>
  <c r="J44" i="9"/>
  <c r="I20" i="9"/>
  <c r="I21" i="9"/>
  <c r="I22" i="9"/>
  <c r="I23" i="9"/>
  <c r="I24" i="9"/>
  <c r="I25" i="9"/>
  <c r="I26" i="9"/>
  <c r="I27" i="9"/>
  <c r="I28" i="9"/>
  <c r="I29" i="9"/>
  <c r="I30" i="9"/>
  <c r="I31" i="9"/>
  <c r="I32" i="9"/>
  <c r="I33" i="9"/>
  <c r="I34" i="9"/>
  <c r="I35" i="9"/>
  <c r="I36" i="9"/>
  <c r="I37" i="9"/>
  <c r="I38" i="9"/>
  <c r="I39" i="9"/>
  <c r="I40" i="9"/>
  <c r="I41" i="9"/>
  <c r="I42" i="9"/>
  <c r="I43" i="9"/>
  <c r="I44" i="9"/>
  <c r="H20" i="9"/>
  <c r="H21" i="9"/>
  <c r="H22" i="9"/>
  <c r="H23" i="9"/>
  <c r="H24" i="9"/>
  <c r="H25" i="9"/>
  <c r="H26" i="9"/>
  <c r="H27" i="9"/>
  <c r="H28" i="9"/>
  <c r="H29" i="9"/>
  <c r="H30" i="9"/>
  <c r="H31" i="9"/>
  <c r="H32" i="9"/>
  <c r="H33" i="9"/>
  <c r="H34" i="9"/>
  <c r="H35" i="9"/>
  <c r="H36" i="9"/>
  <c r="H37" i="9"/>
  <c r="H38" i="9"/>
  <c r="H39" i="9"/>
  <c r="H40" i="9"/>
  <c r="H41" i="9"/>
  <c r="H42" i="9"/>
  <c r="H43" i="9"/>
  <c r="H44" i="9"/>
  <c r="G20" i="9"/>
  <c r="G21" i="9"/>
  <c r="G22" i="9"/>
  <c r="G23" i="9"/>
  <c r="G24" i="9"/>
  <c r="G25" i="9"/>
  <c r="G26" i="9"/>
  <c r="G27" i="9"/>
  <c r="G28" i="9"/>
  <c r="G29" i="9"/>
  <c r="G30" i="9"/>
  <c r="G31" i="9"/>
  <c r="G32" i="9"/>
  <c r="G33" i="9"/>
  <c r="G34" i="9"/>
  <c r="G35" i="9"/>
  <c r="G36" i="9"/>
  <c r="G37" i="9"/>
  <c r="G38" i="9"/>
  <c r="G39" i="9"/>
  <c r="G40" i="9"/>
  <c r="G41" i="9"/>
  <c r="G42" i="9"/>
  <c r="G43" i="9"/>
  <c r="G44" i="9"/>
  <c r="F20" i="9"/>
  <c r="F21" i="9"/>
  <c r="F22" i="9"/>
  <c r="F23" i="9"/>
  <c r="F24" i="9"/>
  <c r="F25" i="9"/>
  <c r="F26" i="9"/>
  <c r="F27" i="9"/>
  <c r="F28" i="9"/>
  <c r="F29" i="9"/>
  <c r="F30" i="9"/>
  <c r="F31" i="9"/>
  <c r="F32" i="9"/>
  <c r="F33" i="9"/>
  <c r="F34" i="9"/>
  <c r="F35" i="9"/>
  <c r="F36" i="9"/>
  <c r="F37" i="9"/>
  <c r="F38" i="9"/>
  <c r="F39" i="9"/>
  <c r="F40" i="9"/>
  <c r="F41" i="9"/>
  <c r="F42" i="9"/>
  <c r="F43" i="9"/>
  <c r="F44" i="9"/>
  <c r="E20" i="9"/>
  <c r="E21" i="9"/>
  <c r="E22" i="9"/>
  <c r="E23" i="9"/>
  <c r="E24" i="9"/>
  <c r="E25" i="9"/>
  <c r="E26" i="9"/>
  <c r="E27" i="9"/>
  <c r="E28" i="9"/>
  <c r="E29" i="9"/>
  <c r="E30" i="9"/>
  <c r="E31" i="9"/>
  <c r="E32" i="9"/>
  <c r="E33" i="9"/>
  <c r="E34" i="9"/>
  <c r="E35" i="9"/>
  <c r="E36" i="9"/>
  <c r="E37" i="9"/>
  <c r="E38" i="9"/>
  <c r="E39" i="9"/>
  <c r="E40" i="9"/>
  <c r="E41" i="9"/>
  <c r="E42" i="9"/>
  <c r="E43" i="9"/>
  <c r="E44" i="9"/>
  <c r="D20" i="9"/>
  <c r="D21" i="9"/>
  <c r="D22" i="9"/>
  <c r="D23" i="9"/>
  <c r="D24" i="9"/>
  <c r="D25" i="9"/>
  <c r="D26" i="9"/>
  <c r="D27" i="9"/>
  <c r="D28" i="9"/>
  <c r="D29" i="9"/>
  <c r="D30" i="9"/>
  <c r="D31" i="9"/>
  <c r="D32" i="9"/>
  <c r="D33" i="9"/>
  <c r="D34" i="9"/>
  <c r="D35" i="9"/>
  <c r="D36" i="9"/>
  <c r="D37" i="9"/>
  <c r="D38" i="9"/>
  <c r="D39" i="9"/>
  <c r="D40" i="9"/>
  <c r="D41" i="9"/>
  <c r="D42" i="9"/>
  <c r="D43" i="9"/>
  <c r="D44" i="9"/>
  <c r="C20" i="9"/>
  <c r="C21" i="9"/>
  <c r="C22" i="9"/>
  <c r="C23" i="9"/>
  <c r="C24" i="9"/>
  <c r="C25" i="9"/>
  <c r="C26" i="9"/>
  <c r="C27" i="9"/>
  <c r="C28" i="9"/>
  <c r="C29" i="9"/>
  <c r="C30" i="9"/>
  <c r="C31" i="9"/>
  <c r="C32" i="9"/>
  <c r="C33" i="9"/>
  <c r="C34" i="9"/>
  <c r="C35" i="9"/>
  <c r="C36" i="9"/>
  <c r="C37" i="9"/>
  <c r="C38" i="9"/>
  <c r="C39" i="9"/>
  <c r="C40" i="9"/>
  <c r="C41" i="9"/>
  <c r="C42" i="9"/>
  <c r="C43" i="9"/>
  <c r="C44" i="9"/>
  <c r="B20" i="9"/>
  <c r="B21" i="9"/>
  <c r="B22" i="9"/>
  <c r="B23" i="9"/>
  <c r="B24" i="9"/>
  <c r="B25" i="9"/>
  <c r="B26" i="9"/>
  <c r="B27" i="9"/>
  <c r="B28" i="9"/>
  <c r="B29" i="9"/>
  <c r="B30" i="9"/>
  <c r="B31" i="9"/>
  <c r="B32" i="9"/>
  <c r="B33" i="9"/>
  <c r="B34" i="9"/>
  <c r="B35" i="9"/>
  <c r="B36" i="9"/>
  <c r="B37" i="9"/>
  <c r="B38" i="9"/>
  <c r="B39" i="9"/>
  <c r="B40" i="9"/>
  <c r="B41" i="9"/>
  <c r="B42" i="9"/>
  <c r="B43" i="9"/>
  <c r="B44" i="9"/>
  <c r="J66" i="8"/>
  <c r="J67" i="8"/>
  <c r="J68" i="8"/>
  <c r="J69" i="8"/>
  <c r="J70" i="8"/>
  <c r="J71" i="8"/>
  <c r="J72" i="8"/>
  <c r="J73" i="8"/>
  <c r="J74" i="8"/>
  <c r="J75"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9" i="20" l="1"/>
  <c r="C8" i="20"/>
  <c r="C19" i="37" l="1"/>
  <c r="F49" i="6" l="1"/>
  <c r="I47" i="6" s="1"/>
  <c r="C214" i="51" l="1"/>
  <c r="C188" i="51"/>
  <c r="C176" i="51"/>
  <c r="D10" i="5" l="1"/>
  <c r="F503" i="3"/>
  <c r="E193" i="16" l="1"/>
  <c r="E194" i="16" s="1"/>
  <c r="E41" i="7" l="1"/>
  <c r="O29" i="3" l="1"/>
  <c r="O30" i="3"/>
  <c r="O31" i="3"/>
  <c r="O32" i="3"/>
  <c r="O33" i="3"/>
  <c r="O34" i="3"/>
  <c r="O35" i="3"/>
  <c r="O36" i="3"/>
  <c r="O37" i="3"/>
  <c r="O38" i="3"/>
  <c r="O39" i="3"/>
  <c r="O40" i="3"/>
  <c r="O41" i="3"/>
  <c r="O42" i="3"/>
  <c r="O43" i="3"/>
  <c r="O44" i="3"/>
  <c r="K38" i="3"/>
  <c r="K39" i="3"/>
  <c r="K40" i="3"/>
  <c r="K41" i="3"/>
  <c r="K42" i="3"/>
  <c r="K29" i="3"/>
  <c r="K30" i="3"/>
  <c r="K31" i="3"/>
  <c r="K32" i="3"/>
  <c r="K33" i="3"/>
  <c r="K34" i="3"/>
  <c r="E65" i="16" l="1"/>
  <c r="P34" i="3"/>
  <c r="L44" i="9"/>
  <c r="G65" i="8"/>
  <c r="P39" i="3"/>
  <c r="H70" i="8" s="1"/>
  <c r="G70" i="8"/>
  <c r="P43" i="3"/>
  <c r="H74" i="8" s="1"/>
  <c r="G74" i="8"/>
  <c r="P35" i="3"/>
  <c r="H66" i="8" s="1"/>
  <c r="G66" i="8"/>
  <c r="P42" i="3"/>
  <c r="H73" i="8" s="1"/>
  <c r="G73" i="8"/>
  <c r="P41" i="3"/>
  <c r="H72" i="8" s="1"/>
  <c r="G72" i="8"/>
  <c r="P32" i="3"/>
  <c r="L42" i="9"/>
  <c r="G63" i="8"/>
  <c r="P31" i="3"/>
  <c r="L41" i="9"/>
  <c r="G62" i="8"/>
  <c r="P33" i="3"/>
  <c r="L43" i="9"/>
  <c r="G64" i="8"/>
  <c r="P40" i="3"/>
  <c r="H71" i="8" s="1"/>
  <c r="G71" i="8"/>
  <c r="P38" i="3"/>
  <c r="H69" i="8" s="1"/>
  <c r="G69" i="8"/>
  <c r="P30" i="3"/>
  <c r="L40" i="9"/>
  <c r="G61" i="8"/>
  <c r="P37" i="3"/>
  <c r="H68" i="8" s="1"/>
  <c r="G68" i="8"/>
  <c r="P29" i="3"/>
  <c r="G60" i="8"/>
  <c r="L39" i="9"/>
  <c r="P44" i="3"/>
  <c r="H75" i="8" s="1"/>
  <c r="G75" i="8"/>
  <c r="P36" i="3"/>
  <c r="H67" i="8" s="1"/>
  <c r="G67" i="8"/>
  <c r="C41" i="20"/>
  <c r="M42" i="9" l="1"/>
  <c r="H63" i="8"/>
  <c r="M43" i="9"/>
  <c r="H64" i="8"/>
  <c r="M39" i="9"/>
  <c r="H60" i="8"/>
  <c r="H61" i="8"/>
  <c r="M40" i="9"/>
  <c r="M41" i="9"/>
  <c r="H62" i="8"/>
  <c r="M44" i="9"/>
  <c r="H65" i="8"/>
  <c r="S187" i="16"/>
  <c r="T187" i="16"/>
  <c r="U187" i="16"/>
  <c r="V187" i="16"/>
  <c r="C231" i="16" s="1"/>
  <c r="W187" i="16"/>
  <c r="R187" i="16"/>
  <c r="I112" i="6" l="1"/>
  <c r="C227" i="16"/>
  <c r="C25" i="20"/>
  <c r="C26" i="20"/>
  <c r="C234" i="16"/>
  <c r="D19" i="37"/>
  <c r="C18" i="75" l="1"/>
  <c r="D18" i="75" s="1"/>
  <c r="C18" i="74"/>
  <c r="D18" i="74" s="1"/>
  <c r="C18" i="6"/>
  <c r="A65" i="10" l="1"/>
  <c r="A52" i="10"/>
  <c r="A39" i="10"/>
  <c r="D100" i="55" l="1"/>
  <c r="M14" i="9"/>
  <c r="F100" i="55" l="1"/>
  <c r="B96" i="55" s="1"/>
  <c r="C24" i="20"/>
  <c r="M15" i="9" l="1"/>
  <c r="M13" i="9"/>
  <c r="A74" i="6" l="1"/>
  <c r="C14" i="20"/>
  <c r="D92" i="55"/>
  <c r="F92" i="55" s="1"/>
  <c r="D17" i="6" l="1"/>
  <c r="D91" i="55"/>
  <c r="F91" i="55" s="1"/>
  <c r="D18" i="6"/>
  <c r="D90" i="55"/>
  <c r="F90" i="55" s="1"/>
  <c r="E17" i="5"/>
  <c r="D17" i="5"/>
  <c r="C53" i="51"/>
  <c r="B86" i="55" l="1"/>
  <c r="B160" i="55" s="1"/>
  <c r="C286" i="51"/>
  <c r="C287" i="51"/>
  <c r="C288" i="51"/>
  <c r="C289" i="51"/>
  <c r="C292" i="51"/>
  <c r="C293" i="51"/>
  <c r="C294" i="51"/>
  <c r="C296" i="51"/>
  <c r="C297" i="51"/>
  <c r="C298" i="51"/>
  <c r="C299" i="51"/>
  <c r="C300" i="51"/>
  <c r="C301" i="51"/>
  <c r="C305" i="51"/>
  <c r="C306" i="51"/>
  <c r="C307" i="51"/>
  <c r="C308" i="51"/>
  <c r="C309" i="51"/>
  <c r="C310" i="51"/>
  <c r="C311" i="51"/>
  <c r="C312" i="51"/>
  <c r="C313" i="51"/>
  <c r="C314" i="51"/>
  <c r="C315" i="51"/>
  <c r="C316" i="51"/>
  <c r="C317" i="51"/>
  <c r="C318" i="51"/>
  <c r="C319" i="51"/>
  <c r="C321" i="51"/>
  <c r="C322" i="51"/>
  <c r="C323" i="51"/>
  <c r="C324" i="51"/>
  <c r="C325" i="51"/>
  <c r="C326" i="51"/>
  <c r="C327" i="51"/>
  <c r="C329" i="51"/>
  <c r="C330" i="51"/>
  <c r="C331" i="51"/>
  <c r="C332" i="51"/>
  <c r="C333" i="51"/>
  <c r="C334" i="51"/>
  <c r="C335" i="51"/>
  <c r="C336" i="51"/>
  <c r="C337" i="51"/>
  <c r="C338" i="51"/>
  <c r="C339" i="51"/>
  <c r="C340" i="51"/>
  <c r="C341" i="51"/>
  <c r="C342" i="51"/>
  <c r="C343" i="51"/>
  <c r="C344" i="51"/>
  <c r="C345" i="51"/>
  <c r="C347" i="51"/>
  <c r="C348" i="51"/>
  <c r="C349" i="51"/>
  <c r="C350" i="51"/>
  <c r="C351" i="51"/>
  <c r="C352" i="51"/>
  <c r="C353" i="51"/>
  <c r="C354" i="51"/>
  <c r="C355" i="51"/>
  <c r="C356" i="51"/>
  <c r="C358" i="51"/>
  <c r="C359" i="51"/>
  <c r="C360" i="51"/>
  <c r="C361" i="51"/>
  <c r="A285" i="51"/>
  <c r="A356" i="51"/>
  <c r="A358" i="51"/>
  <c r="A359" i="51"/>
  <c r="A360" i="51"/>
  <c r="A361" i="51"/>
  <c r="A343" i="51"/>
  <c r="A344" i="51"/>
  <c r="A345" i="51"/>
  <c r="A347" i="51"/>
  <c r="A348" i="51"/>
  <c r="A349" i="51"/>
  <c r="A350" i="51"/>
  <c r="A351" i="51"/>
  <c r="A352" i="51"/>
  <c r="A353" i="51"/>
  <c r="A354" i="51"/>
  <c r="A355" i="51"/>
  <c r="A329" i="51"/>
  <c r="A330" i="51"/>
  <c r="A331" i="51"/>
  <c r="A332" i="51"/>
  <c r="A333" i="51"/>
  <c r="A334" i="51"/>
  <c r="A335" i="51"/>
  <c r="A336" i="51"/>
  <c r="A337" i="51"/>
  <c r="A338" i="51"/>
  <c r="A339" i="51"/>
  <c r="A340" i="51"/>
  <c r="A341" i="51"/>
  <c r="A342" i="51"/>
  <c r="A310" i="51"/>
  <c r="A311" i="51"/>
  <c r="A312" i="51"/>
  <c r="A313" i="51"/>
  <c r="A314" i="51"/>
  <c r="A315" i="51"/>
  <c r="A316" i="51"/>
  <c r="A317" i="51"/>
  <c r="A318" i="51"/>
  <c r="A319" i="51"/>
  <c r="A321" i="51"/>
  <c r="A322" i="51"/>
  <c r="A323" i="51"/>
  <c r="A324" i="51"/>
  <c r="A325" i="51"/>
  <c r="A326" i="51"/>
  <c r="A327" i="51"/>
  <c r="A286" i="51"/>
  <c r="A287" i="51"/>
  <c r="A288" i="51"/>
  <c r="A289" i="51"/>
  <c r="A290" i="51"/>
  <c r="A292" i="51"/>
  <c r="A293" i="51"/>
  <c r="A294" i="51"/>
  <c r="A296" i="51"/>
  <c r="A297" i="51"/>
  <c r="A298" i="51"/>
  <c r="A299" i="51"/>
  <c r="A300" i="51"/>
  <c r="A301" i="51"/>
  <c r="A305" i="51"/>
  <c r="A306" i="51"/>
  <c r="A307" i="51"/>
  <c r="A308" i="51"/>
  <c r="A309" i="51"/>
  <c r="C198" i="51" l="1"/>
  <c r="C197" i="51"/>
  <c r="C196" i="51"/>
  <c r="C195" i="51"/>
  <c r="C194" i="51"/>
  <c r="C193" i="51"/>
  <c r="C192" i="51"/>
  <c r="C191" i="51"/>
  <c r="C190" i="51"/>
  <c r="C189" i="51"/>
  <c r="C187" i="51"/>
  <c r="C184" i="51"/>
  <c r="C183" i="51"/>
  <c r="C180" i="51"/>
  <c r="C179" i="51"/>
  <c r="C175" i="51"/>
  <c r="C172" i="51"/>
  <c r="C171" i="51"/>
  <c r="C170" i="51"/>
  <c r="A368" i="51" l="1"/>
  <c r="A369" i="51"/>
  <c r="A370" i="51"/>
  <c r="A371" i="51"/>
  <c r="A372" i="51"/>
  <c r="A373" i="51"/>
  <c r="A367" i="51"/>
  <c r="D17" i="37" l="1"/>
  <c r="C202" i="51"/>
  <c r="F22" i="6" l="1"/>
  <c r="I20" i="6" s="1"/>
  <c r="J71" i="5" l="1"/>
  <c r="G219" i="3" l="1"/>
  <c r="C283" i="51" s="1"/>
  <c r="P187" i="16"/>
  <c r="C163" i="51" s="1"/>
  <c r="E45" i="3"/>
  <c r="K187" i="16"/>
  <c r="C85" i="51" s="1"/>
  <c r="C13" i="51" l="1"/>
  <c r="C14" i="51"/>
  <c r="C105" i="51" l="1"/>
  <c r="B187" i="16"/>
  <c r="H218" i="16"/>
  <c r="C162" i="51" s="1"/>
  <c r="G218" i="16"/>
  <c r="C161" i="51" s="1"/>
  <c r="F218" i="16"/>
  <c r="C160" i="51" s="1"/>
  <c r="E218" i="16"/>
  <c r="C159" i="51" s="1"/>
  <c r="D218" i="16"/>
  <c r="C158" i="51" s="1"/>
  <c r="C218" i="16"/>
  <c r="C157" i="51" s="1"/>
  <c r="H217" i="16"/>
  <c r="C156" i="51" s="1"/>
  <c r="G217" i="16"/>
  <c r="C155" i="51" s="1"/>
  <c r="F217" i="16"/>
  <c r="C154" i="51" s="1"/>
  <c r="E217" i="16"/>
  <c r="C153" i="51" s="1"/>
  <c r="D217" i="16"/>
  <c r="C152" i="51" s="1"/>
  <c r="C217" i="16"/>
  <c r="C151" i="51" s="1"/>
  <c r="H216" i="16"/>
  <c r="C150" i="51" s="1"/>
  <c r="G216" i="16"/>
  <c r="C149" i="51" s="1"/>
  <c r="F216" i="16"/>
  <c r="C148" i="51" s="1"/>
  <c r="E216" i="16"/>
  <c r="C147" i="51" s="1"/>
  <c r="D216" i="16"/>
  <c r="C146" i="51" s="1"/>
  <c r="C216" i="16"/>
  <c r="C145" i="51" s="1"/>
  <c r="H215" i="16"/>
  <c r="C144" i="51" s="1"/>
  <c r="G215" i="16"/>
  <c r="C143" i="51" s="1"/>
  <c r="F215" i="16"/>
  <c r="C142" i="51" s="1"/>
  <c r="E215" i="16"/>
  <c r="C141" i="51" s="1"/>
  <c r="D215" i="16"/>
  <c r="C140" i="51" s="1"/>
  <c r="C215" i="16"/>
  <c r="C139" i="51" s="1"/>
  <c r="H214" i="16"/>
  <c r="C138" i="51" s="1"/>
  <c r="G214" i="16"/>
  <c r="C137" i="51" s="1"/>
  <c r="F214" i="16"/>
  <c r="C136" i="51" s="1"/>
  <c r="E214" i="16"/>
  <c r="C135" i="51" s="1"/>
  <c r="D214" i="16"/>
  <c r="C134" i="51" s="1"/>
  <c r="C214" i="16"/>
  <c r="C133" i="51" s="1"/>
  <c r="F23" i="16" l="1"/>
  <c r="I49" i="3"/>
  <c r="K44" i="3" l="1"/>
  <c r="D156" i="55" l="1"/>
  <c r="C22" i="68"/>
  <c r="D49" i="3"/>
  <c r="G8" i="53"/>
  <c r="D158" i="53" s="1"/>
  <c r="G8" i="55"/>
  <c r="R188" i="16"/>
  <c r="B76" i="8"/>
  <c r="C230" i="16"/>
  <c r="C232" i="16" s="1"/>
  <c r="C282" i="51"/>
  <c r="E55" i="3" l="1"/>
  <c r="E59" i="3"/>
  <c r="E56" i="3"/>
  <c r="E57" i="3"/>
  <c r="E78" i="3"/>
  <c r="E70" i="3"/>
  <c r="E79" i="3"/>
  <c r="E51" i="3"/>
  <c r="E52" i="3"/>
  <c r="I60" i="3"/>
  <c r="E20" i="5" s="1"/>
  <c r="E69" i="3"/>
  <c r="E77" i="3"/>
  <c r="E68" i="3"/>
  <c r="E76" i="3"/>
  <c r="E67" i="3"/>
  <c r="E75" i="3"/>
  <c r="E74" i="3"/>
  <c r="E66" i="3"/>
  <c r="E65" i="3"/>
  <c r="E73" i="3"/>
  <c r="E64" i="3"/>
  <c r="E53" i="3"/>
  <c r="E58" i="3"/>
  <c r="C25" i="5"/>
  <c r="E50" i="3"/>
  <c r="E61" i="3"/>
  <c r="E60" i="3"/>
  <c r="B146" i="55"/>
  <c r="G84" i="55" s="1"/>
  <c r="C86" i="51"/>
  <c r="C228" i="16"/>
  <c r="C15" i="37" l="1"/>
  <c r="D20" i="5"/>
  <c r="C143" i="75"/>
  <c r="C144" i="75" s="1"/>
  <c r="A141" i="75" s="1"/>
  <c r="F135" i="75" s="1"/>
  <c r="I133" i="75" s="1"/>
  <c r="C143" i="74"/>
  <c r="C144" i="74" s="1"/>
  <c r="A141" i="74" s="1"/>
  <c r="F135" i="74" s="1"/>
  <c r="I133" i="74" s="1"/>
  <c r="C143" i="6"/>
  <c r="C86" i="74"/>
  <c r="C88" i="74" s="1"/>
  <c r="A84" i="74" s="1"/>
  <c r="F73" i="74" s="1"/>
  <c r="C86" i="75"/>
  <c r="C88" i="75" s="1"/>
  <c r="A84" i="75" s="1"/>
  <c r="F73" i="75" s="1"/>
  <c r="C144" i="6"/>
  <c r="A141" i="6" s="1"/>
  <c r="I51" i="3"/>
  <c r="I50" i="3"/>
  <c r="C99" i="51"/>
  <c r="J69" i="5"/>
  <c r="C204" i="75" l="1"/>
  <c r="C205" i="75" s="1"/>
  <c r="I71" i="75"/>
  <c r="I71" i="74"/>
  <c r="C204" i="74"/>
  <c r="C205" i="74" s="1"/>
  <c r="F135" i="6"/>
  <c r="C72" i="51"/>
  <c r="C73" i="51"/>
  <c r="C87" i="51"/>
  <c r="C9" i="37"/>
  <c r="C98" i="51"/>
  <c r="I133" i="6" l="1"/>
  <c r="C69" i="51"/>
  <c r="C68" i="51"/>
  <c r="C67" i="51"/>
  <c r="C104" i="51" l="1"/>
  <c r="C103" i="51"/>
  <c r="C102" i="51"/>
  <c r="C101" i="51"/>
  <c r="C100" i="51"/>
  <c r="K35" i="3"/>
  <c r="K36" i="3"/>
  <c r="K37" i="3"/>
  <c r="K43" i="3"/>
  <c r="K26" i="3"/>
  <c r="C86" i="6" l="1"/>
  <c r="C88" i="6" s="1"/>
  <c r="H22" i="5"/>
  <c r="A84" i="6" l="1"/>
  <c r="F73" i="6" s="1"/>
  <c r="C204" i="6" s="1"/>
  <c r="C205" i="6" s="1"/>
  <c r="K156" i="8"/>
  <c r="J156" i="8"/>
  <c r="I156" i="8"/>
  <c r="K150" i="8"/>
  <c r="J150" i="8"/>
  <c r="I150" i="8"/>
  <c r="K148" i="8"/>
  <c r="I148" i="8"/>
  <c r="C82" i="8"/>
  <c r="D82" i="8" s="1"/>
  <c r="E82" i="8" s="1"/>
  <c r="F82" i="8" s="1"/>
  <c r="G82" i="8" s="1"/>
  <c r="H82" i="8" s="1"/>
  <c r="I82" i="8" s="1"/>
  <c r="J82" i="8" s="1"/>
  <c r="K82" i="8" s="1"/>
  <c r="L82" i="8" s="1"/>
  <c r="M82" i="8" s="1"/>
  <c r="N82" i="8" s="1"/>
  <c r="O82" i="8" s="1"/>
  <c r="P82" i="8" s="1"/>
  <c r="Q82" i="8" s="1"/>
  <c r="R82" i="8" s="1"/>
  <c r="S82" i="8" s="1"/>
  <c r="T82" i="8" s="1"/>
  <c r="U82" i="8" s="1"/>
  <c r="V82" i="8" s="1"/>
  <c r="W82" i="8" s="1"/>
  <c r="X82" i="8" s="1"/>
  <c r="Y82" i="8" s="1"/>
  <c r="Z82" i="8" s="1"/>
  <c r="AA82" i="8" s="1"/>
  <c r="AB82" i="8" s="1"/>
  <c r="AC82" i="8" s="1"/>
  <c r="AD82" i="8" s="1"/>
  <c r="AE82" i="8" s="1"/>
  <c r="AF82" i="8" s="1"/>
  <c r="C81" i="8"/>
  <c r="D81" i="8" s="1"/>
  <c r="E81" i="8" s="1"/>
  <c r="F81" i="8" s="1"/>
  <c r="G81" i="8" s="1"/>
  <c r="H81" i="8" s="1"/>
  <c r="I81" i="8" s="1"/>
  <c r="J81" i="8" s="1"/>
  <c r="K81" i="8" s="1"/>
  <c r="L81" i="8" s="1"/>
  <c r="M81" i="8" s="1"/>
  <c r="N81" i="8" s="1"/>
  <c r="O81" i="8" s="1"/>
  <c r="P81" i="8" s="1"/>
  <c r="Q81" i="8" s="1"/>
  <c r="R81" i="8" s="1"/>
  <c r="S81" i="8" s="1"/>
  <c r="T81" i="8" s="1"/>
  <c r="U81" i="8" s="1"/>
  <c r="V81" i="8" s="1"/>
  <c r="W81" i="8" s="1"/>
  <c r="X81" i="8" s="1"/>
  <c r="Y81" i="8" s="1"/>
  <c r="Z81" i="8" s="1"/>
  <c r="AA81" i="8" s="1"/>
  <c r="AB81" i="8" s="1"/>
  <c r="AC81" i="8" s="1"/>
  <c r="AD81" i="8" s="1"/>
  <c r="AE81" i="8" s="1"/>
  <c r="AF81" i="8" s="1"/>
  <c r="I40" i="8"/>
  <c r="F40" i="8"/>
  <c r="E40" i="8"/>
  <c r="D40" i="8"/>
  <c r="C40" i="8"/>
  <c r="B40" i="8"/>
  <c r="J35" i="8"/>
  <c r="F35" i="8"/>
  <c r="E35" i="8"/>
  <c r="D35" i="8"/>
  <c r="L32" i="8" s="1"/>
  <c r="C105" i="8" s="1"/>
  <c r="C35" i="8"/>
  <c r="B151" i="8" s="1"/>
  <c r="B35" i="8"/>
  <c r="F34" i="8"/>
  <c r="E34" i="8"/>
  <c r="D34" i="8"/>
  <c r="L31" i="8" s="1"/>
  <c r="C104" i="8" s="1"/>
  <c r="C34" i="8"/>
  <c r="B150" i="8" s="1"/>
  <c r="B34" i="8"/>
  <c r="F33" i="8"/>
  <c r="E33" i="8"/>
  <c r="D33" i="8"/>
  <c r="L30" i="8" s="1"/>
  <c r="C103" i="8" s="1"/>
  <c r="C33" i="8"/>
  <c r="B149" i="8" s="1"/>
  <c r="B33" i="8"/>
  <c r="F32" i="8"/>
  <c r="E32" i="8"/>
  <c r="D32" i="8"/>
  <c r="C148" i="8" s="1"/>
  <c r="C32" i="8"/>
  <c r="B148" i="8" s="1"/>
  <c r="B32" i="8"/>
  <c r="J31" i="8"/>
  <c r="F31" i="8"/>
  <c r="E31" i="8"/>
  <c r="D31" i="8"/>
  <c r="C147" i="8" s="1"/>
  <c r="C31" i="8"/>
  <c r="K28" i="8" s="1"/>
  <c r="B101" i="8" s="1"/>
  <c r="B31" i="8"/>
  <c r="F30" i="8"/>
  <c r="E30" i="8"/>
  <c r="D30" i="8"/>
  <c r="C146" i="8" s="1"/>
  <c r="C30" i="8"/>
  <c r="B146" i="8" s="1"/>
  <c r="B30" i="8"/>
  <c r="F29" i="8"/>
  <c r="E29" i="8"/>
  <c r="D29" i="8"/>
  <c r="C145" i="8" s="1"/>
  <c r="C29" i="8"/>
  <c r="K23" i="8" s="1"/>
  <c r="B96" i="8" s="1"/>
  <c r="B29" i="8"/>
  <c r="F28" i="8"/>
  <c r="E28" i="8"/>
  <c r="D28" i="8"/>
  <c r="C144" i="8" s="1"/>
  <c r="C28" i="8"/>
  <c r="B144" i="8" s="1"/>
  <c r="B28" i="8"/>
  <c r="K25" i="8" s="1"/>
  <c r="B98" i="8" s="1"/>
  <c r="F27" i="8"/>
  <c r="E27" i="8"/>
  <c r="D27" i="8"/>
  <c r="C143" i="8" s="1"/>
  <c r="C27" i="8"/>
  <c r="B143" i="8" s="1"/>
  <c r="B27" i="8"/>
  <c r="F26" i="8"/>
  <c r="E26" i="8"/>
  <c r="D26" i="8"/>
  <c r="C142" i="8" s="1"/>
  <c r="C26" i="8"/>
  <c r="B142" i="8" s="1"/>
  <c r="B26" i="8"/>
  <c r="F25" i="8"/>
  <c r="E25" i="8"/>
  <c r="D25" i="8"/>
  <c r="G25" i="8" s="1"/>
  <c r="D141" i="8" s="1"/>
  <c r="C25" i="8"/>
  <c r="B141" i="8" s="1"/>
  <c r="B25" i="8"/>
  <c r="F24" i="8"/>
  <c r="E24" i="8"/>
  <c r="D24" i="8"/>
  <c r="C24" i="8"/>
  <c r="B140" i="8" s="1"/>
  <c r="B24" i="8"/>
  <c r="C20" i="8"/>
  <c r="E17" i="8"/>
  <c r="E16" i="8"/>
  <c r="C8" i="8"/>
  <c r="C6" i="8"/>
  <c r="D86" i="8"/>
  <c r="E86" i="8" s="1"/>
  <c r="F86" i="8" s="1"/>
  <c r="G86" i="8" s="1"/>
  <c r="H86" i="8" s="1"/>
  <c r="I86" i="8" s="1"/>
  <c r="J86" i="8" s="1"/>
  <c r="K86" i="8" s="1"/>
  <c r="L86" i="8" s="1"/>
  <c r="M86" i="8" s="1"/>
  <c r="N86" i="8" s="1"/>
  <c r="O86" i="8" s="1"/>
  <c r="P86" i="8" s="1"/>
  <c r="Q86" i="8" s="1"/>
  <c r="R86" i="8" s="1"/>
  <c r="S86" i="8" s="1"/>
  <c r="T86" i="8" s="1"/>
  <c r="U86" i="8" s="1"/>
  <c r="V86" i="8" s="1"/>
  <c r="W86" i="8" s="1"/>
  <c r="X86" i="8" s="1"/>
  <c r="Y86" i="8" s="1"/>
  <c r="Z86" i="8" s="1"/>
  <c r="AA86" i="8" s="1"/>
  <c r="AB86" i="8" s="1"/>
  <c r="AC86" i="8" s="1"/>
  <c r="AD86" i="8" s="1"/>
  <c r="AE86" i="8" s="1"/>
  <c r="AF86" i="8" s="1"/>
  <c r="I71" i="6" l="1"/>
  <c r="C92" i="8"/>
  <c r="D92" i="8" s="1"/>
  <c r="E92" i="8" s="1"/>
  <c r="F92" i="8" s="1"/>
  <c r="G92" i="8" s="1"/>
  <c r="H92" i="8" s="1"/>
  <c r="I92" i="8" s="1"/>
  <c r="J92" i="8" s="1"/>
  <c r="K92" i="8" s="1"/>
  <c r="L92" i="8" s="1"/>
  <c r="M92" i="8" s="1"/>
  <c r="N92" i="8" s="1"/>
  <c r="O92" i="8" s="1"/>
  <c r="P92" i="8" s="1"/>
  <c r="Q92" i="8" s="1"/>
  <c r="R92" i="8" s="1"/>
  <c r="S92" i="8" s="1"/>
  <c r="T92" i="8" s="1"/>
  <c r="U92" i="8" s="1"/>
  <c r="V92" i="8" s="1"/>
  <c r="W92" i="8" s="1"/>
  <c r="X92" i="8" s="1"/>
  <c r="Y92" i="8" s="1"/>
  <c r="Z92" i="8" s="1"/>
  <c r="AA92" i="8" s="1"/>
  <c r="AB92" i="8" s="1"/>
  <c r="AC92" i="8" s="1"/>
  <c r="AD92" i="8" s="1"/>
  <c r="AE92" i="8" s="1"/>
  <c r="AF92" i="8" s="1"/>
  <c r="G33" i="8"/>
  <c r="D149" i="8" s="1"/>
  <c r="B145" i="8"/>
  <c r="C140" i="8"/>
  <c r="B147" i="8"/>
  <c r="K27" i="8"/>
  <c r="B100" i="8" s="1"/>
  <c r="C151" i="8"/>
  <c r="G32" i="8"/>
  <c r="D148" i="8" s="1"/>
  <c r="C141" i="8"/>
  <c r="C150" i="8"/>
  <c r="L26" i="8"/>
  <c r="C99" i="8" s="1"/>
  <c r="L23" i="8"/>
  <c r="C96" i="8" s="1"/>
  <c r="K24" i="8"/>
  <c r="B97" i="8" s="1"/>
  <c r="G26" i="8"/>
  <c r="D142" i="8" s="1"/>
  <c r="L24" i="8"/>
  <c r="C97" i="8" s="1"/>
  <c r="G27" i="8"/>
  <c r="D143" i="8" s="1"/>
  <c r="G35" i="8"/>
  <c r="D151" i="8" s="1"/>
  <c r="L25" i="8"/>
  <c r="C98" i="8" s="1"/>
  <c r="K26" i="8"/>
  <c r="B99" i="8" s="1"/>
  <c r="G31" i="8"/>
  <c r="D147" i="8" s="1"/>
  <c r="G34" i="8"/>
  <c r="D150" i="8" s="1"/>
  <c r="C149" i="8"/>
  <c r="K29" i="8"/>
  <c r="B102" i="8" s="1"/>
  <c r="K30" i="8"/>
  <c r="B103" i="8" s="1"/>
  <c r="D36" i="8"/>
  <c r="G24" i="8" s="1"/>
  <c r="D140" i="8" s="1"/>
  <c r="L27" i="8"/>
  <c r="C100" i="8" s="1"/>
  <c r="L28" i="8"/>
  <c r="L29" i="8"/>
  <c r="C102" i="8" s="1"/>
  <c r="K31" i="8"/>
  <c r="B104" i="8" s="1"/>
  <c r="K32" i="8"/>
  <c r="B105" i="8" s="1"/>
  <c r="C66" i="51" l="1"/>
  <c r="G30" i="8"/>
  <c r="D146" i="8" s="1"/>
  <c r="G29" i="8"/>
  <c r="D145" i="8" s="1"/>
  <c r="G28" i="8"/>
  <c r="D144" i="8" s="1"/>
  <c r="C154" i="8"/>
  <c r="AF96" i="8"/>
  <c r="X96" i="8"/>
  <c r="P96" i="8"/>
  <c r="H96" i="8"/>
  <c r="AE96" i="8"/>
  <c r="W96" i="8"/>
  <c r="O96" i="8"/>
  <c r="G96" i="8"/>
  <c r="AD96" i="8"/>
  <c r="V96" i="8"/>
  <c r="N96" i="8"/>
  <c r="F96" i="8"/>
  <c r="S96" i="8"/>
  <c r="E96" i="8"/>
  <c r="AC96" i="8"/>
  <c r="R96" i="8"/>
  <c r="D96" i="8"/>
  <c r="AB96" i="8"/>
  <c r="Q96" i="8"/>
  <c r="AA96" i="8"/>
  <c r="M96" i="8"/>
  <c r="Z96" i="8"/>
  <c r="L96" i="8"/>
  <c r="Y96" i="8"/>
  <c r="K96" i="8"/>
  <c r="U96" i="8"/>
  <c r="J96" i="8"/>
  <c r="T96" i="8"/>
  <c r="I96" i="8"/>
  <c r="Z97" i="8"/>
  <c r="R97" i="8"/>
  <c r="J97" i="8"/>
  <c r="Y97" i="8"/>
  <c r="Q97" i="8"/>
  <c r="I97" i="8"/>
  <c r="AF97" i="8"/>
  <c r="X97" i="8"/>
  <c r="P97" i="8"/>
  <c r="H97" i="8"/>
  <c r="AE97" i="8"/>
  <c r="W97" i="8"/>
  <c r="O97" i="8"/>
  <c r="G97" i="8"/>
  <c r="AD97" i="8"/>
  <c r="N97" i="8"/>
  <c r="AC97" i="8"/>
  <c r="M97" i="8"/>
  <c r="AB97" i="8"/>
  <c r="L97" i="8"/>
  <c r="AA97" i="8"/>
  <c r="K97" i="8"/>
  <c r="V97" i="8"/>
  <c r="F97" i="8"/>
  <c r="U97" i="8"/>
  <c r="E97" i="8"/>
  <c r="T97" i="8"/>
  <c r="D97" i="8"/>
  <c r="S97" i="8"/>
  <c r="D154" i="8" l="1"/>
  <c r="G36" i="8"/>
  <c r="K124" i="8"/>
  <c r="G124" i="8"/>
  <c r="O124" i="8"/>
  <c r="L124" i="8"/>
  <c r="I124" i="8"/>
  <c r="M124" i="8"/>
  <c r="F124" i="8"/>
  <c r="H124" i="8"/>
  <c r="D124" i="8"/>
  <c r="E124" i="8"/>
  <c r="N124" i="8"/>
  <c r="J124" i="8"/>
  <c r="Q124" i="8"/>
  <c r="P124" i="8"/>
  <c r="C56" i="51" l="1"/>
  <c r="I243" i="3"/>
  <c r="I244" i="3"/>
  <c r="I245" i="3"/>
  <c r="I246" i="3"/>
  <c r="I247" i="3"/>
  <c r="I248" i="3"/>
  <c r="I249" i="3"/>
  <c r="I242" i="3"/>
  <c r="I239" i="3"/>
  <c r="N244" i="3" l="1"/>
  <c r="N243" i="3"/>
  <c r="N242" i="3"/>
  <c r="C38" i="51" l="1"/>
  <c r="C32" i="20" l="1"/>
  <c r="F16" i="5" l="1"/>
  <c r="M48" i="9"/>
  <c r="G250" i="3"/>
  <c r="G218" i="3"/>
  <c r="E57" i="9"/>
  <c r="E55" i="9"/>
  <c r="E56" i="9"/>
  <c r="D191" i="16" l="1"/>
  <c r="D190" i="16"/>
  <c r="C191" i="16"/>
  <c r="C190" i="16"/>
  <c r="C90" i="51"/>
  <c r="C91" i="51"/>
  <c r="F187" i="16"/>
  <c r="F191" i="16" l="1"/>
  <c r="C192" i="16"/>
  <c r="F190" i="16"/>
  <c r="D192" i="16"/>
  <c r="C83" i="51"/>
  <c r="C82" i="51"/>
  <c r="C81" i="51"/>
  <c r="C80" i="51"/>
  <c r="C79" i="51"/>
  <c r="C78" i="51"/>
  <c r="C21" i="51"/>
  <c r="C213" i="51"/>
  <c r="C212" i="51"/>
  <c r="C211" i="51"/>
  <c r="C210" i="51"/>
  <c r="C209" i="51"/>
  <c r="C208" i="51"/>
  <c r="C207" i="51"/>
  <c r="C55" i="51"/>
  <c r="C54" i="51"/>
  <c r="C52" i="51"/>
  <c r="C51" i="51"/>
  <c r="C50" i="51"/>
  <c r="C205" i="51"/>
  <c r="C204" i="51"/>
  <c r="C201" i="51"/>
  <c r="C199" i="51"/>
  <c r="C34" i="51"/>
  <c r="C42" i="51"/>
  <c r="C127" i="51"/>
  <c r="C126" i="51"/>
  <c r="C125" i="51"/>
  <c r="C124" i="51"/>
  <c r="C123" i="51"/>
  <c r="C122" i="51"/>
  <c r="C121" i="51"/>
  <c r="C120" i="51"/>
  <c r="C119" i="51"/>
  <c r="C118" i="51"/>
  <c r="C117" i="51"/>
  <c r="C116" i="51"/>
  <c r="C115" i="51"/>
  <c r="C114" i="51"/>
  <c r="C113" i="51"/>
  <c r="C186" i="51"/>
  <c r="C185" i="51"/>
  <c r="C182" i="51"/>
  <c r="C181" i="51"/>
  <c r="C178" i="51"/>
  <c r="C177" i="51"/>
  <c r="C174" i="51"/>
  <c r="C173" i="51"/>
  <c r="C169" i="51"/>
  <c r="C168" i="51"/>
  <c r="C167" i="51"/>
  <c r="C166" i="51"/>
  <c r="C165" i="51"/>
  <c r="C164" i="51"/>
  <c r="C15" i="51"/>
  <c r="C12" i="51"/>
  <c r="C11" i="51"/>
  <c r="C10" i="51"/>
  <c r="C9" i="51"/>
  <c r="C8" i="51"/>
  <c r="C7" i="51"/>
  <c r="C6" i="51"/>
  <c r="C5" i="51"/>
  <c r="C4" i="51"/>
  <c r="C10" i="6"/>
  <c r="A4" i="6" s="1"/>
  <c r="C8" i="6"/>
  <c r="D8" i="6" s="1"/>
  <c r="A3" i="6"/>
  <c r="H79" i="11"/>
  <c r="H80" i="11" s="1"/>
  <c r="G79" i="11"/>
  <c r="G80" i="11" s="1"/>
  <c r="F79" i="11"/>
  <c r="F80" i="11" s="1"/>
  <c r="E79" i="11"/>
  <c r="E80" i="11" s="1"/>
  <c r="I78" i="11"/>
  <c r="D78" i="11"/>
  <c r="I77" i="11"/>
  <c r="D77" i="11" s="1"/>
  <c r="I76" i="11"/>
  <c r="D76" i="11" s="1"/>
  <c r="I75" i="11"/>
  <c r="D75" i="11" s="1"/>
  <c r="I74" i="11"/>
  <c r="D74" i="11" s="1"/>
  <c r="I73" i="11"/>
  <c r="J73" i="11" s="1"/>
  <c r="I72" i="11"/>
  <c r="J72" i="11" s="1"/>
  <c r="I71" i="11"/>
  <c r="J71" i="11" s="1"/>
  <c r="I70" i="11"/>
  <c r="D70" i="11" s="1"/>
  <c r="I69" i="11"/>
  <c r="D69" i="11" s="1"/>
  <c r="I68" i="11"/>
  <c r="D68" i="11" s="1"/>
  <c r="I67" i="11"/>
  <c r="D67" i="11" s="1"/>
  <c r="I66" i="11"/>
  <c r="D66" i="11" s="1"/>
  <c r="I65" i="11"/>
  <c r="D65" i="11" s="1"/>
  <c r="I64" i="11"/>
  <c r="D64" i="11" s="1"/>
  <c r="I63" i="11"/>
  <c r="D63" i="11" s="1"/>
  <c r="I62" i="11"/>
  <c r="D62" i="11" s="1"/>
  <c r="I61" i="11"/>
  <c r="D61" i="11"/>
  <c r="D80" i="11" s="1"/>
  <c r="H57" i="11"/>
  <c r="H56" i="11"/>
  <c r="H55" i="11"/>
  <c r="H54" i="11"/>
  <c r="H53" i="11"/>
  <c r="H52" i="11"/>
  <c r="H51" i="11"/>
  <c r="H50" i="11"/>
  <c r="H49" i="11"/>
  <c r="H48" i="11"/>
  <c r="H44" i="11"/>
  <c r="H43" i="11"/>
  <c r="H42" i="11"/>
  <c r="H41" i="11"/>
  <c r="H40" i="11"/>
  <c r="H39" i="11"/>
  <c r="H38" i="11"/>
  <c r="H37" i="11"/>
  <c r="H36" i="11"/>
  <c r="E25" i="11"/>
  <c r="D14" i="11"/>
  <c r="F44" i="7"/>
  <c r="D25" i="7"/>
  <c r="E24" i="7"/>
  <c r="D23" i="7"/>
  <c r="D22" i="7"/>
  <c r="D21" i="7"/>
  <c r="C42" i="37"/>
  <c r="D18" i="37"/>
  <c r="E17" i="37"/>
  <c r="C7" i="37"/>
  <c r="C8" i="37" s="1"/>
  <c r="F82" i="10"/>
  <c r="A79" i="10"/>
  <c r="F66" i="10"/>
  <c r="F53" i="10"/>
  <c r="F40" i="10"/>
  <c r="F27" i="10"/>
  <c r="A26" i="10"/>
  <c r="F10" i="10"/>
  <c r="A9" i="10"/>
  <c r="C54" i="5"/>
  <c r="C36" i="51" s="1"/>
  <c r="C45" i="5"/>
  <c r="C17" i="8" s="1"/>
  <c r="D17" i="8" s="1"/>
  <c r="B20" i="8" s="1"/>
  <c r="C56" i="5" s="1"/>
  <c r="G42" i="5"/>
  <c r="J42" i="5" s="1"/>
  <c r="E35" i="5"/>
  <c r="K158" i="8" s="1"/>
  <c r="D35" i="5"/>
  <c r="J158" i="8" s="1"/>
  <c r="C35" i="5"/>
  <c r="I158" i="8" s="1"/>
  <c r="G19" i="5"/>
  <c r="H10" i="5"/>
  <c r="G10" i="5"/>
  <c r="E9" i="5"/>
  <c r="K147" i="8" s="1"/>
  <c r="D9" i="5"/>
  <c r="J147" i="8" s="1"/>
  <c r="C9" i="5"/>
  <c r="I147" i="8" s="1"/>
  <c r="E8" i="5"/>
  <c r="K146" i="8" s="1"/>
  <c r="D8" i="5"/>
  <c r="J146" i="8" s="1"/>
  <c r="C8" i="5"/>
  <c r="I146" i="8" s="1"/>
  <c r="H503" i="3"/>
  <c r="G503" i="3"/>
  <c r="I501" i="3"/>
  <c r="J501" i="3" s="1"/>
  <c r="I500" i="3"/>
  <c r="J500" i="3" s="1"/>
  <c r="I499" i="3"/>
  <c r="J499" i="3" s="1"/>
  <c r="I498" i="3"/>
  <c r="J498" i="3" s="1"/>
  <c r="H496" i="3"/>
  <c r="G496" i="3"/>
  <c r="F496" i="3"/>
  <c r="I495" i="3" s="1"/>
  <c r="J495" i="3" s="1"/>
  <c r="I494" i="3"/>
  <c r="J494" i="3" s="1"/>
  <c r="I493" i="3"/>
  <c r="J493" i="3" s="1"/>
  <c r="I492" i="3"/>
  <c r="J492" i="3" s="1"/>
  <c r="I491" i="3"/>
  <c r="J491" i="3" s="1"/>
  <c r="I490" i="3"/>
  <c r="J490" i="3" s="1"/>
  <c r="I489" i="3"/>
  <c r="H487" i="3"/>
  <c r="G487" i="3"/>
  <c r="F487" i="3"/>
  <c r="I485" i="3"/>
  <c r="J485" i="3" s="1"/>
  <c r="I484" i="3"/>
  <c r="J484" i="3" s="1"/>
  <c r="I483" i="3"/>
  <c r="J483" i="3" s="1"/>
  <c r="I482" i="3"/>
  <c r="J482" i="3" s="1"/>
  <c r="H480" i="3"/>
  <c r="G480" i="3"/>
  <c r="F480" i="3"/>
  <c r="I478" i="3"/>
  <c r="J478" i="3" s="1"/>
  <c r="I477" i="3"/>
  <c r="J477" i="3" s="1"/>
  <c r="I476" i="3"/>
  <c r="J476" i="3" s="1"/>
  <c r="I475" i="3"/>
  <c r="J475" i="3" s="1"/>
  <c r="I474" i="3"/>
  <c r="J474" i="3" s="1"/>
  <c r="I473" i="3"/>
  <c r="J473" i="3" s="1"/>
  <c r="I472" i="3"/>
  <c r="J472" i="3" s="1"/>
  <c r="I471" i="3"/>
  <c r="J471" i="3" s="1"/>
  <c r="I470" i="3"/>
  <c r="J470" i="3" s="1"/>
  <c r="I469" i="3"/>
  <c r="J469" i="3" s="1"/>
  <c r="I468" i="3"/>
  <c r="J468" i="3" s="1"/>
  <c r="I467" i="3"/>
  <c r="J467" i="3" s="1"/>
  <c r="I466" i="3"/>
  <c r="J466" i="3" s="1"/>
  <c r="I465" i="3"/>
  <c r="J465" i="3" s="1"/>
  <c r="I464" i="3"/>
  <c r="J464" i="3" s="1"/>
  <c r="I463" i="3"/>
  <c r="J463" i="3" s="1"/>
  <c r="I462" i="3"/>
  <c r="J462" i="3" s="1"/>
  <c r="I461" i="3"/>
  <c r="J461" i="3" s="1"/>
  <c r="I460" i="3"/>
  <c r="J460" i="3" s="1"/>
  <c r="I459" i="3"/>
  <c r="J459" i="3" s="1"/>
  <c r="I458" i="3"/>
  <c r="J458" i="3" s="1"/>
  <c r="I457" i="3"/>
  <c r="J457" i="3" s="1"/>
  <c r="I456" i="3"/>
  <c r="J456" i="3" s="1"/>
  <c r="I455" i="3"/>
  <c r="J455" i="3" s="1"/>
  <c r="I454" i="3"/>
  <c r="J454" i="3" s="1"/>
  <c r="I453" i="3"/>
  <c r="J453" i="3" s="1"/>
  <c r="I452" i="3"/>
  <c r="J452" i="3" s="1"/>
  <c r="I451" i="3"/>
  <c r="J451" i="3" s="1"/>
  <c r="I450" i="3"/>
  <c r="J450" i="3" s="1"/>
  <c r="I449" i="3"/>
  <c r="J449" i="3" s="1"/>
  <c r="I448" i="3"/>
  <c r="H446" i="3"/>
  <c r="G446" i="3"/>
  <c r="F446" i="3"/>
  <c r="I444" i="3"/>
  <c r="J444" i="3" s="1"/>
  <c r="I443" i="3"/>
  <c r="J443" i="3" s="1"/>
  <c r="I442" i="3"/>
  <c r="J442" i="3" s="1"/>
  <c r="I441" i="3"/>
  <c r="J441" i="3" s="1"/>
  <c r="I440" i="3"/>
  <c r="J440" i="3" s="1"/>
  <c r="I439" i="3"/>
  <c r="J439" i="3" s="1"/>
  <c r="I438" i="3"/>
  <c r="J438" i="3" s="1"/>
  <c r="H436" i="3"/>
  <c r="G436" i="3"/>
  <c r="F436" i="3"/>
  <c r="I434" i="3"/>
  <c r="J434" i="3" s="1"/>
  <c r="I433" i="3"/>
  <c r="J433" i="3" s="1"/>
  <c r="I432" i="3"/>
  <c r="J432" i="3" s="1"/>
  <c r="I431" i="3"/>
  <c r="J431" i="3" s="1"/>
  <c r="I430" i="3"/>
  <c r="J430" i="3" s="1"/>
  <c r="I429" i="3"/>
  <c r="J429" i="3" s="1"/>
  <c r="I428" i="3"/>
  <c r="J428" i="3" s="1"/>
  <c r="I427" i="3"/>
  <c r="J427" i="3" s="1"/>
  <c r="I426" i="3"/>
  <c r="J426" i="3" s="1"/>
  <c r="H421" i="3"/>
  <c r="R408" i="3"/>
  <c r="R409" i="3" s="1"/>
  <c r="Q408" i="3"/>
  <c r="Q409" i="3" s="1"/>
  <c r="P408" i="3"/>
  <c r="P409" i="3" s="1"/>
  <c r="O408" i="3"/>
  <c r="O409" i="3" s="1"/>
  <c r="N408" i="3"/>
  <c r="N409" i="3" s="1"/>
  <c r="M408" i="3"/>
  <c r="M409" i="3" s="1"/>
  <c r="L408" i="3"/>
  <c r="L409" i="3" s="1"/>
  <c r="K408" i="3"/>
  <c r="K409" i="3" s="1"/>
  <c r="J408" i="3"/>
  <c r="J409" i="3" s="1"/>
  <c r="I408" i="3"/>
  <c r="I409" i="3" s="1"/>
  <c r="H408" i="3"/>
  <c r="H409" i="3" s="1"/>
  <c r="G408" i="3"/>
  <c r="G409" i="3" s="1"/>
  <c r="S406" i="3"/>
  <c r="C278" i="51" s="1"/>
  <c r="D406" i="3"/>
  <c r="S405" i="3"/>
  <c r="C277" i="51" s="1"/>
  <c r="D405" i="3"/>
  <c r="S404" i="3"/>
  <c r="C276" i="51" s="1"/>
  <c r="S403" i="3"/>
  <c r="C275" i="51" s="1"/>
  <c r="S401" i="3"/>
  <c r="C274" i="51" s="1"/>
  <c r="D401" i="3"/>
  <c r="S400" i="3"/>
  <c r="L319" i="3" s="1"/>
  <c r="D400" i="3"/>
  <c r="S399" i="3"/>
  <c r="S398" i="3"/>
  <c r="C271" i="51" s="1"/>
  <c r="S397" i="3"/>
  <c r="C270" i="51" s="1"/>
  <c r="S395" i="3"/>
  <c r="C269" i="51" s="1"/>
  <c r="D395" i="3"/>
  <c r="S394" i="3"/>
  <c r="C268" i="51" s="1"/>
  <c r="D394" i="3"/>
  <c r="S393" i="3"/>
  <c r="C267" i="51" s="1"/>
  <c r="S392" i="3"/>
  <c r="C266" i="51" s="1"/>
  <c r="S391" i="3"/>
  <c r="C265" i="51" s="1"/>
  <c r="S390" i="3"/>
  <c r="C264" i="51" s="1"/>
  <c r="S389" i="3"/>
  <c r="C263" i="51" s="1"/>
  <c r="S388" i="3"/>
  <c r="C262" i="51" s="1"/>
  <c r="S387" i="3"/>
  <c r="C261" i="51" s="1"/>
  <c r="S386" i="3"/>
  <c r="S385" i="3"/>
  <c r="C259" i="51" s="1"/>
  <c r="S384" i="3"/>
  <c r="C258" i="51" s="1"/>
  <c r="S382" i="3"/>
  <c r="C257" i="51" s="1"/>
  <c r="D382" i="3"/>
  <c r="S381" i="3"/>
  <c r="C256" i="51" s="1"/>
  <c r="D381" i="3"/>
  <c r="S380" i="3"/>
  <c r="C255" i="51" s="1"/>
  <c r="S379" i="3"/>
  <c r="C254" i="51" s="1"/>
  <c r="S378" i="3"/>
  <c r="C253" i="51" s="1"/>
  <c r="S377" i="3"/>
  <c r="C252" i="51" s="1"/>
  <c r="S376" i="3"/>
  <c r="L295" i="3" s="1"/>
  <c r="S375" i="3"/>
  <c r="C250" i="51" s="1"/>
  <c r="S374" i="3"/>
  <c r="C249" i="51" s="1"/>
  <c r="S373" i="3"/>
  <c r="C248" i="51" s="1"/>
  <c r="S371" i="3"/>
  <c r="C247" i="51" s="1"/>
  <c r="D371" i="3"/>
  <c r="S370" i="3"/>
  <c r="C246" i="51" s="1"/>
  <c r="D370" i="3"/>
  <c r="S369" i="3"/>
  <c r="C245" i="51" s="1"/>
  <c r="S368" i="3"/>
  <c r="C244" i="51" s="1"/>
  <c r="S367" i="3"/>
  <c r="S366" i="3"/>
  <c r="L285" i="3" s="1"/>
  <c r="S365" i="3"/>
  <c r="C241" i="51" s="1"/>
  <c r="S364" i="3"/>
  <c r="C240" i="51" s="1"/>
  <c r="S363" i="3"/>
  <c r="S362" i="3"/>
  <c r="C238" i="51" s="1"/>
  <c r="S361" i="3"/>
  <c r="C237" i="51" s="1"/>
  <c r="S360" i="3"/>
  <c r="L279" i="3" s="1"/>
  <c r="S359" i="3"/>
  <c r="C235" i="51" s="1"/>
  <c r="S358" i="3"/>
  <c r="C234" i="51" s="1"/>
  <c r="S356" i="3"/>
  <c r="C233" i="51" s="1"/>
  <c r="D356" i="3"/>
  <c r="S355" i="3"/>
  <c r="L274" i="3" s="1"/>
  <c r="D355" i="3"/>
  <c r="S354" i="3"/>
  <c r="L273" i="3" s="1"/>
  <c r="S353" i="3"/>
  <c r="C231" i="51" s="1"/>
  <c r="S352" i="3"/>
  <c r="C230" i="51" s="1"/>
  <c r="S351" i="3"/>
  <c r="L270" i="3" s="1"/>
  <c r="S349" i="3"/>
  <c r="C228" i="51" s="1"/>
  <c r="D349" i="3"/>
  <c r="S348" i="3"/>
  <c r="C227" i="51" s="1"/>
  <c r="D348" i="3"/>
  <c r="S347" i="3"/>
  <c r="C226" i="51" s="1"/>
  <c r="S346" i="3"/>
  <c r="C225" i="51" s="1"/>
  <c r="S345" i="3"/>
  <c r="C224" i="51" s="1"/>
  <c r="S344" i="3"/>
  <c r="C223" i="51" s="1"/>
  <c r="S343" i="3"/>
  <c r="C222" i="51" s="1"/>
  <c r="S342" i="3"/>
  <c r="C221" i="51" s="1"/>
  <c r="S341" i="3"/>
  <c r="C220" i="51" s="1"/>
  <c r="S339" i="3"/>
  <c r="C219" i="51" s="1"/>
  <c r="D339" i="3"/>
  <c r="S338" i="3"/>
  <c r="C218" i="51" s="1"/>
  <c r="D338" i="3"/>
  <c r="S337" i="3"/>
  <c r="C217" i="51" s="1"/>
  <c r="S336" i="3"/>
  <c r="C216" i="51" s="1"/>
  <c r="R334" i="3"/>
  <c r="Q334" i="3"/>
  <c r="P334" i="3"/>
  <c r="O334" i="3"/>
  <c r="N334" i="3"/>
  <c r="M334" i="3"/>
  <c r="L334" i="3"/>
  <c r="K334" i="3"/>
  <c r="J334" i="3"/>
  <c r="I334" i="3"/>
  <c r="H334" i="3"/>
  <c r="G334" i="3"/>
  <c r="I327" i="3"/>
  <c r="H327" i="3"/>
  <c r="G327" i="3"/>
  <c r="D7" i="5" s="1"/>
  <c r="J145" i="8" s="1"/>
  <c r="F327" i="3"/>
  <c r="J325" i="3"/>
  <c r="K325" i="3" s="1"/>
  <c r="F406" i="3" s="1"/>
  <c r="J324" i="3"/>
  <c r="K324" i="3" s="1"/>
  <c r="J323" i="3"/>
  <c r="K323" i="3" s="1"/>
  <c r="F404" i="3" s="1"/>
  <c r="J322" i="3"/>
  <c r="K322" i="3" s="1"/>
  <c r="F403" i="3" s="1"/>
  <c r="J320" i="3"/>
  <c r="K320" i="3" s="1"/>
  <c r="F401" i="3" s="1"/>
  <c r="J319" i="3"/>
  <c r="K319" i="3" s="1"/>
  <c r="F400" i="3" s="1"/>
  <c r="J318" i="3"/>
  <c r="K318" i="3" s="1"/>
  <c r="F399" i="3" s="1"/>
  <c r="J317" i="3"/>
  <c r="K317" i="3" s="1"/>
  <c r="J316" i="3"/>
  <c r="K316" i="3" s="1"/>
  <c r="F397" i="3" s="1"/>
  <c r="J314" i="3"/>
  <c r="K314" i="3" s="1"/>
  <c r="J313" i="3"/>
  <c r="K313" i="3" s="1"/>
  <c r="J312" i="3"/>
  <c r="K312" i="3" s="1"/>
  <c r="J311" i="3"/>
  <c r="K311" i="3" s="1"/>
  <c r="F392" i="3" s="1"/>
  <c r="J310" i="3"/>
  <c r="K310" i="3" s="1"/>
  <c r="J309" i="3"/>
  <c r="K309" i="3" s="1"/>
  <c r="F390" i="3" s="1"/>
  <c r="J308" i="3"/>
  <c r="K308" i="3" s="1"/>
  <c r="J307" i="3"/>
  <c r="K307" i="3" s="1"/>
  <c r="J306" i="3"/>
  <c r="K306" i="3" s="1"/>
  <c r="F387" i="3" s="1"/>
  <c r="J305" i="3"/>
  <c r="K305" i="3" s="1"/>
  <c r="J304" i="3"/>
  <c r="K304" i="3" s="1"/>
  <c r="J303" i="3"/>
  <c r="K303" i="3" s="1"/>
  <c r="J301" i="3"/>
  <c r="K301" i="3" s="1"/>
  <c r="F382" i="3" s="1"/>
  <c r="J300" i="3"/>
  <c r="K300" i="3" s="1"/>
  <c r="F381" i="3" s="1"/>
  <c r="J299" i="3"/>
  <c r="K299" i="3" s="1"/>
  <c r="F380" i="3" s="1"/>
  <c r="J298" i="3"/>
  <c r="K298" i="3" s="1"/>
  <c r="F379" i="3" s="1"/>
  <c r="J297" i="3"/>
  <c r="K297" i="3" s="1"/>
  <c r="F378" i="3" s="1"/>
  <c r="J296" i="3"/>
  <c r="K296" i="3" s="1"/>
  <c r="F377" i="3" s="1"/>
  <c r="J295" i="3"/>
  <c r="K295" i="3" s="1"/>
  <c r="F376" i="3" s="1"/>
  <c r="J294" i="3"/>
  <c r="K294" i="3" s="1"/>
  <c r="F375" i="3" s="1"/>
  <c r="J293" i="3"/>
  <c r="K293" i="3" s="1"/>
  <c r="F374" i="3" s="1"/>
  <c r="J292" i="3"/>
  <c r="K292" i="3" s="1"/>
  <c r="F373" i="3" s="1"/>
  <c r="J290" i="3"/>
  <c r="K290" i="3" s="1"/>
  <c r="F371" i="3" s="1"/>
  <c r="J289" i="3"/>
  <c r="K289" i="3" s="1"/>
  <c r="F370" i="3" s="1"/>
  <c r="J288" i="3"/>
  <c r="K288" i="3" s="1"/>
  <c r="J287" i="3"/>
  <c r="K287" i="3" s="1"/>
  <c r="F368" i="3" s="1"/>
  <c r="J286" i="3"/>
  <c r="K286" i="3" s="1"/>
  <c r="F367" i="3" s="1"/>
  <c r="J285" i="3"/>
  <c r="K285" i="3" s="1"/>
  <c r="F366" i="3" s="1"/>
  <c r="J284" i="3"/>
  <c r="K284" i="3" s="1"/>
  <c r="F365" i="3" s="1"/>
  <c r="J283" i="3"/>
  <c r="K283" i="3" s="1"/>
  <c r="F364" i="3" s="1"/>
  <c r="J282" i="3"/>
  <c r="K282" i="3" s="1"/>
  <c r="F363" i="3" s="1"/>
  <c r="D157" i="53" s="1"/>
  <c r="J281" i="3"/>
  <c r="K281" i="3" s="1"/>
  <c r="F362" i="3" s="1"/>
  <c r="J280" i="3"/>
  <c r="K280" i="3" s="1"/>
  <c r="J279" i="3"/>
  <c r="K279" i="3" s="1"/>
  <c r="F360" i="3" s="1"/>
  <c r="J278" i="3"/>
  <c r="K278" i="3" s="1"/>
  <c r="J277" i="3"/>
  <c r="K277" i="3" s="1"/>
  <c r="F358" i="3" s="1"/>
  <c r="J275" i="3"/>
  <c r="K275" i="3" s="1"/>
  <c r="J274" i="3"/>
  <c r="K274" i="3" s="1"/>
  <c r="F355" i="3" s="1"/>
  <c r="J273" i="3"/>
  <c r="K273" i="3" s="1"/>
  <c r="F354" i="3" s="1"/>
  <c r="J272" i="3"/>
  <c r="K272" i="3" s="1"/>
  <c r="F353" i="3" s="1"/>
  <c r="J271" i="3"/>
  <c r="K271" i="3" s="1"/>
  <c r="J270" i="3"/>
  <c r="K270" i="3" s="1"/>
  <c r="F351" i="3" s="1"/>
  <c r="J268" i="3"/>
  <c r="K268" i="3" s="1"/>
  <c r="J267" i="3"/>
  <c r="K267" i="3" s="1"/>
  <c r="F348" i="3" s="1"/>
  <c r="J266" i="3"/>
  <c r="K266" i="3" s="1"/>
  <c r="J265" i="3"/>
  <c r="K265" i="3" s="1"/>
  <c r="J264" i="3"/>
  <c r="K264" i="3" s="1"/>
  <c r="J263" i="3"/>
  <c r="K263" i="3" s="1"/>
  <c r="J262" i="3"/>
  <c r="K262" i="3" s="1"/>
  <c r="J261" i="3"/>
  <c r="K261" i="3" s="1"/>
  <c r="F342" i="3" s="1"/>
  <c r="J260" i="3"/>
  <c r="K260" i="3" s="1"/>
  <c r="J258" i="3"/>
  <c r="K258" i="3" s="1"/>
  <c r="F339" i="3" s="1"/>
  <c r="J257" i="3"/>
  <c r="K257" i="3" s="1"/>
  <c r="F338" i="3" s="1"/>
  <c r="J256" i="3"/>
  <c r="K256" i="3" s="1"/>
  <c r="F337" i="3" s="1"/>
  <c r="J255" i="3"/>
  <c r="K255" i="3" s="1"/>
  <c r="F336" i="3" s="1"/>
  <c r="J254" i="3"/>
  <c r="K254" i="3" s="1"/>
  <c r="N241" i="3"/>
  <c r="G224" i="3"/>
  <c r="I217" i="3"/>
  <c r="I216" i="3"/>
  <c r="I215" i="3"/>
  <c r="I214" i="3"/>
  <c r="I213" i="3"/>
  <c r="I212" i="3"/>
  <c r="L211" i="3"/>
  <c r="I211" i="3"/>
  <c r="I210" i="3"/>
  <c r="I208" i="3"/>
  <c r="I204" i="3"/>
  <c r="H204" i="3"/>
  <c r="G204" i="3"/>
  <c r="F204" i="3"/>
  <c r="E204" i="3"/>
  <c r="D204" i="3"/>
  <c r="I195" i="3"/>
  <c r="H195" i="3"/>
  <c r="G195" i="3"/>
  <c r="F195" i="3"/>
  <c r="E195" i="3"/>
  <c r="D195" i="3"/>
  <c r="F176" i="3"/>
  <c r="H175" i="3"/>
  <c r="H174" i="3"/>
  <c r="H173" i="3"/>
  <c r="F170" i="3"/>
  <c r="H169" i="3"/>
  <c r="H168" i="3"/>
  <c r="H167" i="3"/>
  <c r="F158" i="3"/>
  <c r="H157" i="3"/>
  <c r="H156" i="3"/>
  <c r="H155" i="3"/>
  <c r="H154" i="3"/>
  <c r="F139" i="3"/>
  <c r="H138" i="3"/>
  <c r="H137" i="3"/>
  <c r="H32" i="20"/>
  <c r="H129" i="3"/>
  <c r="H128" i="3"/>
  <c r="H127" i="3"/>
  <c r="F109" i="3"/>
  <c r="H108" i="3"/>
  <c r="H107" i="3"/>
  <c r="H106" i="3"/>
  <c r="F101" i="3"/>
  <c r="H100" i="3"/>
  <c r="H94" i="3"/>
  <c r="O28" i="3"/>
  <c r="K28" i="3"/>
  <c r="O27" i="3"/>
  <c r="K27" i="3"/>
  <c r="O26" i="3"/>
  <c r="O25" i="3"/>
  <c r="K25" i="3"/>
  <c r="O24" i="3"/>
  <c r="K24" i="3"/>
  <c r="O23" i="3"/>
  <c r="K23" i="3"/>
  <c r="O22" i="3"/>
  <c r="K22" i="3"/>
  <c r="O21" i="3"/>
  <c r="K21" i="3"/>
  <c r="O20" i="3"/>
  <c r="K20" i="3"/>
  <c r="O19" i="3"/>
  <c r="K19" i="3"/>
  <c r="O18" i="3"/>
  <c r="K18" i="3"/>
  <c r="O17" i="3"/>
  <c r="K17" i="3"/>
  <c r="O16" i="3"/>
  <c r="K16" i="3"/>
  <c r="O15" i="3"/>
  <c r="K15" i="3"/>
  <c r="O14" i="3"/>
  <c r="K14" i="3"/>
  <c r="O13" i="3"/>
  <c r="K13" i="3"/>
  <c r="O12" i="3"/>
  <c r="K12" i="3"/>
  <c r="O11" i="3"/>
  <c r="K11" i="3"/>
  <c r="O10" i="3"/>
  <c r="K10" i="3"/>
  <c r="O9" i="3"/>
  <c r="G40" i="8" s="1"/>
  <c r="K9" i="3"/>
  <c r="C129" i="51"/>
  <c r="C128" i="51"/>
  <c r="D235" i="16"/>
  <c r="C62" i="16"/>
  <c r="G13" i="5"/>
  <c r="J60" i="9"/>
  <c r="J59" i="9"/>
  <c r="J58" i="9"/>
  <c r="J57" i="9"/>
  <c r="J56" i="9"/>
  <c r="J55" i="9"/>
  <c r="E58" i="9"/>
  <c r="J54" i="9"/>
  <c r="E54" i="9"/>
  <c r="J53" i="9"/>
  <c r="E53" i="9"/>
  <c r="J52" i="9"/>
  <c r="E52" i="9"/>
  <c r="J51" i="9"/>
  <c r="E51" i="9"/>
  <c r="J50" i="9"/>
  <c r="E50" i="9"/>
  <c r="J49" i="9"/>
  <c r="E49" i="9"/>
  <c r="J48" i="9"/>
  <c r="E48" i="9"/>
  <c r="C45" i="9"/>
  <c r="K19" i="9"/>
  <c r="J19" i="9"/>
  <c r="I19" i="9"/>
  <c r="H19" i="9"/>
  <c r="G19" i="9"/>
  <c r="F19" i="9"/>
  <c r="E19" i="9"/>
  <c r="D19" i="9"/>
  <c r="C19" i="9"/>
  <c r="B19" i="9"/>
  <c r="M16" i="9"/>
  <c r="I16" i="9"/>
  <c r="D16" i="9"/>
  <c r="I15" i="9"/>
  <c r="D15" i="9"/>
  <c r="I14" i="9"/>
  <c r="D14" i="9"/>
  <c r="I13" i="9"/>
  <c r="D13" i="9"/>
  <c r="M12" i="9"/>
  <c r="I12" i="9"/>
  <c r="M11" i="9"/>
  <c r="M10" i="9"/>
  <c r="I10" i="9"/>
  <c r="D9" i="9"/>
  <c r="G6" i="9"/>
  <c r="C40" i="20"/>
  <c r="C35" i="20"/>
  <c r="C34" i="20"/>
  <c r="C33" i="20"/>
  <c r="C30" i="20"/>
  <c r="C27" i="20"/>
  <c r="C13" i="20"/>
  <c r="H9" i="20" s="1"/>
  <c r="H11" i="20"/>
  <c r="C10" i="20"/>
  <c r="H7" i="20"/>
  <c r="C3" i="20"/>
  <c r="C7" i="5" l="1"/>
  <c r="I145" i="8" s="1"/>
  <c r="C83" i="8"/>
  <c r="D83" i="8" s="1"/>
  <c r="E83" i="8" s="1"/>
  <c r="F83" i="8" s="1"/>
  <c r="G83" i="8" s="1"/>
  <c r="H83" i="8" s="1"/>
  <c r="I83" i="8" s="1"/>
  <c r="J83" i="8" s="1"/>
  <c r="K83" i="8" s="1"/>
  <c r="L83" i="8" s="1"/>
  <c r="M83" i="8" s="1"/>
  <c r="N83" i="8" s="1"/>
  <c r="O83" i="8" s="1"/>
  <c r="P83" i="8" s="1"/>
  <c r="Q83" i="8" s="1"/>
  <c r="R83" i="8" s="1"/>
  <c r="S83" i="8" s="1"/>
  <c r="T83" i="8" s="1"/>
  <c r="U83" i="8" s="1"/>
  <c r="V83" i="8" s="1"/>
  <c r="W83" i="8" s="1"/>
  <c r="X83" i="8" s="1"/>
  <c r="Y83" i="8" s="1"/>
  <c r="Z83" i="8" s="1"/>
  <c r="AA83" i="8" s="1"/>
  <c r="AB83" i="8" s="1"/>
  <c r="AC83" i="8" s="1"/>
  <c r="AD83" i="8" s="1"/>
  <c r="AE83" i="8" s="1"/>
  <c r="AF83" i="8" s="1"/>
  <c r="C295" i="51"/>
  <c r="H34" i="20"/>
  <c r="C346" i="51"/>
  <c r="H33" i="20"/>
  <c r="C328" i="51"/>
  <c r="C84" i="8"/>
  <c r="D84" i="8" s="1"/>
  <c r="E84" i="8" s="1"/>
  <c r="F84" i="8" s="1"/>
  <c r="G84" i="8" s="1"/>
  <c r="H84" i="8" s="1"/>
  <c r="I84" i="8" s="1"/>
  <c r="J84" i="8" s="1"/>
  <c r="K84" i="8" s="1"/>
  <c r="L84" i="8" s="1"/>
  <c r="M84" i="8" s="1"/>
  <c r="N84" i="8" s="1"/>
  <c r="O84" i="8" s="1"/>
  <c r="P84" i="8" s="1"/>
  <c r="Q84" i="8" s="1"/>
  <c r="R84" i="8" s="1"/>
  <c r="S84" i="8" s="1"/>
  <c r="T84" i="8" s="1"/>
  <c r="U84" i="8" s="1"/>
  <c r="V84" i="8" s="1"/>
  <c r="W84" i="8" s="1"/>
  <c r="X84" i="8" s="1"/>
  <c r="Y84" i="8" s="1"/>
  <c r="Z84" i="8" s="1"/>
  <c r="AA84" i="8" s="1"/>
  <c r="AB84" i="8" s="1"/>
  <c r="AC84" i="8" s="1"/>
  <c r="AD84" i="8" s="1"/>
  <c r="AE84" i="8" s="1"/>
  <c r="AF84" i="8" s="1"/>
  <c r="C302" i="51"/>
  <c r="H35" i="20"/>
  <c r="C357" i="51"/>
  <c r="D159" i="53"/>
  <c r="D160" i="53" s="1"/>
  <c r="B153" i="53" s="1"/>
  <c r="G84" i="53" s="1"/>
  <c r="G12" i="53" s="1"/>
  <c r="F192" i="16"/>
  <c r="E140" i="8"/>
  <c r="D71" i="11"/>
  <c r="H45" i="11"/>
  <c r="D73" i="11"/>
  <c r="I79" i="11"/>
  <c r="I80" i="11" s="1"/>
  <c r="D72" i="11"/>
  <c r="L278" i="3"/>
  <c r="M278" i="3" s="1"/>
  <c r="C3" i="53"/>
  <c r="C3" i="55"/>
  <c r="D15" i="37"/>
  <c r="G43" i="8"/>
  <c r="L22" i="9"/>
  <c r="L26" i="9"/>
  <c r="G47" i="8"/>
  <c r="G51" i="8"/>
  <c r="L30" i="9"/>
  <c r="G55" i="8"/>
  <c r="L34" i="9"/>
  <c r="I502" i="3"/>
  <c r="J502" i="3" s="1"/>
  <c r="G504" i="3"/>
  <c r="L27" i="9"/>
  <c r="G48" i="8"/>
  <c r="G52" i="8"/>
  <c r="L31" i="9"/>
  <c r="L35" i="9"/>
  <c r="G56" i="8"/>
  <c r="L36" i="9"/>
  <c r="G57" i="8"/>
  <c r="G44" i="8"/>
  <c r="L23" i="9"/>
  <c r="L20" i="9"/>
  <c r="G41" i="8"/>
  <c r="L24" i="9"/>
  <c r="G45" i="8"/>
  <c r="L28" i="9"/>
  <c r="G49" i="8"/>
  <c r="L32" i="9"/>
  <c r="G53" i="8"/>
  <c r="C239" i="51"/>
  <c r="G58" i="8"/>
  <c r="L37" i="9"/>
  <c r="G42" i="8"/>
  <c r="L21" i="9"/>
  <c r="G50" i="8"/>
  <c r="L29" i="9"/>
  <c r="L33" i="9"/>
  <c r="G54" i="8"/>
  <c r="L25" i="9"/>
  <c r="G46" i="8"/>
  <c r="G59" i="8"/>
  <c r="L38" i="9"/>
  <c r="C272" i="51"/>
  <c r="C260" i="51"/>
  <c r="E7" i="5"/>
  <c r="K145" i="8" s="1"/>
  <c r="F133" i="8"/>
  <c r="S335" i="3"/>
  <c r="C215" i="51" s="1"/>
  <c r="I445" i="3"/>
  <c r="J445" i="3" s="1"/>
  <c r="J194" i="3"/>
  <c r="I435" i="3"/>
  <c r="J435" i="3" s="1"/>
  <c r="I479" i="3"/>
  <c r="J479" i="3" s="1"/>
  <c r="I486" i="3"/>
  <c r="J486" i="3" s="1"/>
  <c r="H36" i="20"/>
  <c r="C362" i="51"/>
  <c r="H13" i="5"/>
  <c r="C32" i="6"/>
  <c r="D32" i="6" s="1"/>
  <c r="C26" i="6"/>
  <c r="D26" i="6" s="1"/>
  <c r="M49" i="9"/>
  <c r="K140" i="8"/>
  <c r="K195" i="3"/>
  <c r="L195" i="3" s="1"/>
  <c r="C284" i="51" s="1"/>
  <c r="L271" i="3"/>
  <c r="M271" i="3" s="1"/>
  <c r="L307" i="3"/>
  <c r="C34" i="37" s="1"/>
  <c r="L277" i="3"/>
  <c r="L300" i="3"/>
  <c r="M300" i="3" s="1"/>
  <c r="L313" i="3"/>
  <c r="M313" i="3" s="1"/>
  <c r="L308" i="3"/>
  <c r="C35" i="37" s="1"/>
  <c r="L325" i="3"/>
  <c r="M325" i="3" s="1"/>
  <c r="L299" i="3"/>
  <c r="M299" i="3" s="1"/>
  <c r="P25" i="3"/>
  <c r="P13" i="3"/>
  <c r="P19" i="3"/>
  <c r="P27" i="3"/>
  <c r="P24" i="3"/>
  <c r="J148" i="8"/>
  <c r="P17" i="3"/>
  <c r="P15" i="3"/>
  <c r="L292" i="3"/>
  <c r="M292" i="3" s="1"/>
  <c r="L256" i="3"/>
  <c r="M256" i="3" s="1"/>
  <c r="P22" i="3"/>
  <c r="L275" i="3"/>
  <c r="M275" i="3" s="1"/>
  <c r="L288" i="3"/>
  <c r="L301" i="3"/>
  <c r="M301" i="3" s="1"/>
  <c r="L322" i="3"/>
  <c r="J25" i="8" s="1"/>
  <c r="C131" i="51"/>
  <c r="F178" i="3"/>
  <c r="C363" i="51" s="1"/>
  <c r="P20" i="3"/>
  <c r="P26" i="3"/>
  <c r="P16" i="3"/>
  <c r="L284" i="3"/>
  <c r="M284" i="3" s="1"/>
  <c r="L289" i="3"/>
  <c r="M289" i="3" s="1"/>
  <c r="L323" i="3"/>
  <c r="M323" i="3" s="1"/>
  <c r="I496" i="3"/>
  <c r="P23" i="3"/>
  <c r="L280" i="3"/>
  <c r="M280" i="3" s="1"/>
  <c r="L324" i="3"/>
  <c r="H504" i="3"/>
  <c r="L260" i="3"/>
  <c r="F504" i="3"/>
  <c r="J448" i="3"/>
  <c r="P18" i="3"/>
  <c r="J489" i="3"/>
  <c r="F335" i="3"/>
  <c r="M274" i="3"/>
  <c r="L294" i="3"/>
  <c r="M294" i="3" s="1"/>
  <c r="C251" i="51"/>
  <c r="P12" i="3"/>
  <c r="L267" i="3"/>
  <c r="M267" i="3" s="1"/>
  <c r="L272" i="3"/>
  <c r="M272" i="3" s="1"/>
  <c r="L296" i="3"/>
  <c r="M296" i="3" s="1"/>
  <c r="L306" i="3"/>
  <c r="C33" i="37" s="1"/>
  <c r="L310" i="3"/>
  <c r="M310" i="3" s="1"/>
  <c r="L318" i="3"/>
  <c r="M318" i="3" s="1"/>
  <c r="L316" i="3"/>
  <c r="M316" i="3" s="1"/>
  <c r="L287" i="3"/>
  <c r="L303" i="3"/>
  <c r="M303" i="3" s="1"/>
  <c r="M279" i="3"/>
  <c r="L261" i="3"/>
  <c r="M261" i="3" s="1"/>
  <c r="L258" i="3"/>
  <c r="M258" i="3" s="1"/>
  <c r="C229" i="51"/>
  <c r="L304" i="3"/>
  <c r="M304" i="3" s="1"/>
  <c r="L317" i="3"/>
  <c r="L320" i="3"/>
  <c r="M320" i="3" s="1"/>
  <c r="L19" i="3"/>
  <c r="J50" i="8" s="1"/>
  <c r="L25" i="3"/>
  <c r="J56" i="8" s="1"/>
  <c r="F356" i="3"/>
  <c r="F361" i="3"/>
  <c r="M295" i="3"/>
  <c r="M270" i="3"/>
  <c r="F359" i="3"/>
  <c r="F352" i="3"/>
  <c r="F369" i="3"/>
  <c r="M273" i="3"/>
  <c r="M319" i="3"/>
  <c r="L255" i="3"/>
  <c r="L257" i="3"/>
  <c r="M257" i="3" s="1"/>
  <c r="L265" i="3"/>
  <c r="M265" i="3" s="1"/>
  <c r="L290" i="3"/>
  <c r="M290" i="3" s="1"/>
  <c r="L293" i="3"/>
  <c r="M293" i="3" s="1"/>
  <c r="L297" i="3"/>
  <c r="M297" i="3" s="1"/>
  <c r="L311" i="3"/>
  <c r="M311" i="3" s="1"/>
  <c r="C236" i="51"/>
  <c r="P14" i="3"/>
  <c r="C273" i="51"/>
  <c r="M285" i="3"/>
  <c r="P21" i="3"/>
  <c r="P28" i="3"/>
  <c r="F405" i="3"/>
  <c r="F398" i="3"/>
  <c r="C232" i="51"/>
  <c r="L263" i="3"/>
  <c r="M263" i="3" s="1"/>
  <c r="L18" i="3"/>
  <c r="J49" i="8" s="1"/>
  <c r="L26" i="3"/>
  <c r="J57" i="8" s="1"/>
  <c r="B45" i="9"/>
  <c r="C3" i="50"/>
  <c r="C242" i="51"/>
  <c r="L282" i="3"/>
  <c r="M282" i="3" s="1"/>
  <c r="L286" i="3"/>
  <c r="M286" i="3" s="1"/>
  <c r="C243" i="51"/>
  <c r="L283" i="3"/>
  <c r="M283" i="3" s="1"/>
  <c r="L281" i="3"/>
  <c r="D330" i="3" s="1"/>
  <c r="C23" i="68" s="1"/>
  <c r="C24" i="68" s="1"/>
  <c r="C21" i="68" s="1"/>
  <c r="L305" i="3"/>
  <c r="L312" i="3"/>
  <c r="C37" i="37" s="1"/>
  <c r="L298" i="3"/>
  <c r="L266" i="3"/>
  <c r="M266" i="3" s="1"/>
  <c r="L262" i="3"/>
  <c r="M262" i="3" s="1"/>
  <c r="L314" i="3"/>
  <c r="M314" i="3" s="1"/>
  <c r="L309" i="3"/>
  <c r="C36" i="37" s="1"/>
  <c r="L264" i="3"/>
  <c r="M264" i="3" s="1"/>
  <c r="L268" i="3"/>
  <c r="M268" i="3" s="1"/>
  <c r="F395" i="3"/>
  <c r="F394" i="3"/>
  <c r="F393" i="3"/>
  <c r="F391" i="3"/>
  <c r="F389" i="3"/>
  <c r="F388" i="3"/>
  <c r="F386" i="3"/>
  <c r="F385" i="3"/>
  <c r="F384" i="3"/>
  <c r="F349" i="3"/>
  <c r="F347" i="3"/>
  <c r="F346" i="3"/>
  <c r="F345" i="3"/>
  <c r="F344" i="3"/>
  <c r="F343" i="3"/>
  <c r="F341" i="3"/>
  <c r="K327" i="3"/>
  <c r="C11" i="5"/>
  <c r="C23" i="5" s="1"/>
  <c r="J327" i="3"/>
  <c r="C25" i="37" s="1"/>
  <c r="C193" i="16"/>
  <c r="D193" i="16"/>
  <c r="D194" i="16" s="1"/>
  <c r="D11" i="5"/>
  <c r="I250" i="3"/>
  <c r="I218" i="3"/>
  <c r="L19" i="9"/>
  <c r="P11" i="3"/>
  <c r="C22" i="20"/>
  <c r="P10" i="3"/>
  <c r="G116" i="3"/>
  <c r="G100" i="3"/>
  <c r="G124" i="3"/>
  <c r="G163" i="3"/>
  <c r="G143" i="3"/>
  <c r="K429" i="3"/>
  <c r="K440" i="3"/>
  <c r="K451" i="3"/>
  <c r="G151" i="3"/>
  <c r="K459" i="3"/>
  <c r="G169" i="3"/>
  <c r="K467" i="3"/>
  <c r="K475" i="3"/>
  <c r="K489" i="3"/>
  <c r="G137" i="3"/>
  <c r="G107" i="3"/>
  <c r="G117" i="3"/>
  <c r="G125" i="3"/>
  <c r="G144" i="3"/>
  <c r="G152" i="3"/>
  <c r="G157" i="3"/>
  <c r="G164" i="3"/>
  <c r="G175" i="3"/>
  <c r="K432" i="3"/>
  <c r="K443" i="3"/>
  <c r="K454" i="3"/>
  <c r="K462" i="3"/>
  <c r="K470" i="3"/>
  <c r="K478" i="3"/>
  <c r="K492" i="3"/>
  <c r="K498" i="3"/>
  <c r="G118" i="3"/>
  <c r="G126" i="3"/>
  <c r="G138" i="3"/>
  <c r="G145" i="3"/>
  <c r="G153" i="3"/>
  <c r="G165" i="3"/>
  <c r="K427" i="3"/>
  <c r="K438" i="3"/>
  <c r="K449" i="3"/>
  <c r="K457" i="3"/>
  <c r="K465" i="3"/>
  <c r="K473" i="3"/>
  <c r="K484" i="3"/>
  <c r="K495" i="3"/>
  <c r="K501" i="3"/>
  <c r="G108" i="3"/>
  <c r="G119" i="3"/>
  <c r="G127" i="3"/>
  <c r="G132" i="3"/>
  <c r="G146" i="3"/>
  <c r="G154" i="3"/>
  <c r="G166" i="3"/>
  <c r="K430" i="3"/>
  <c r="K441" i="3"/>
  <c r="K452" i="3"/>
  <c r="K460" i="3"/>
  <c r="K468" i="3"/>
  <c r="K476" i="3"/>
  <c r="K490" i="3"/>
  <c r="G103" i="3"/>
  <c r="G120" i="3"/>
  <c r="G133" i="3"/>
  <c r="G147" i="3"/>
  <c r="G167" i="3"/>
  <c r="G172" i="3"/>
  <c r="J36" i="8" s="1"/>
  <c r="K433" i="3"/>
  <c r="K444" i="3"/>
  <c r="K455" i="3"/>
  <c r="K463" i="3"/>
  <c r="K471" i="3"/>
  <c r="K482" i="3"/>
  <c r="K493" i="3"/>
  <c r="K499" i="3"/>
  <c r="P9" i="3"/>
  <c r="G104" i="3"/>
  <c r="G121" i="3"/>
  <c r="G128" i="3"/>
  <c r="G134" i="3"/>
  <c r="G148" i="3"/>
  <c r="G155" i="3"/>
  <c r="G160" i="3"/>
  <c r="G173" i="3"/>
  <c r="K428" i="3"/>
  <c r="K439" i="3"/>
  <c r="K450" i="3"/>
  <c r="K458" i="3"/>
  <c r="K466" i="3"/>
  <c r="K474" i="3"/>
  <c r="K485" i="3"/>
  <c r="L42" i="5"/>
  <c r="G98" i="3"/>
  <c r="G105" i="3"/>
  <c r="G122" i="3"/>
  <c r="G135" i="3"/>
  <c r="G141" i="3"/>
  <c r="G149" i="3"/>
  <c r="G161" i="3"/>
  <c r="G168" i="3"/>
  <c r="K431" i="3"/>
  <c r="K442" i="3"/>
  <c r="K453" i="3"/>
  <c r="K461" i="3"/>
  <c r="K469" i="3"/>
  <c r="K477" i="3"/>
  <c r="K491" i="3"/>
  <c r="C27" i="5"/>
  <c r="F86" i="3"/>
  <c r="G99" i="3"/>
  <c r="G106" i="3"/>
  <c r="G115" i="3"/>
  <c r="G123" i="3"/>
  <c r="G129" i="3"/>
  <c r="G136" i="3"/>
  <c r="G142" i="3"/>
  <c r="G150" i="3"/>
  <c r="G156" i="3"/>
  <c r="G162" i="3"/>
  <c r="G174" i="3"/>
  <c r="K426" i="3"/>
  <c r="K434" i="3"/>
  <c r="K448" i="3"/>
  <c r="K456" i="3"/>
  <c r="K464" i="3"/>
  <c r="K472" i="3"/>
  <c r="K483" i="3"/>
  <c r="K494" i="3"/>
  <c r="K500" i="3"/>
  <c r="G16" i="5"/>
  <c r="C18" i="20"/>
  <c r="C15" i="20"/>
  <c r="H16" i="5"/>
  <c r="C17" i="20"/>
  <c r="C16" i="20"/>
  <c r="C3" i="49"/>
  <c r="I155" i="8" l="1"/>
  <c r="D329" i="3"/>
  <c r="A19" i="68"/>
  <c r="F18" i="68" s="1"/>
  <c r="C132" i="68" s="1"/>
  <c r="C10" i="37"/>
  <c r="C11" i="37" s="1"/>
  <c r="D11" i="37" s="1"/>
  <c r="D27" i="20"/>
  <c r="D26" i="20"/>
  <c r="D25" i="20"/>
  <c r="D24" i="20"/>
  <c r="F193" i="16"/>
  <c r="K435" i="3"/>
  <c r="K479" i="3"/>
  <c r="I480" i="3"/>
  <c r="K445" i="3"/>
  <c r="I503" i="3"/>
  <c r="K502" i="3"/>
  <c r="S408" i="3"/>
  <c r="C194" i="16"/>
  <c r="F194" i="16" s="1"/>
  <c r="H45" i="8"/>
  <c r="M24" i="9"/>
  <c r="M28" i="9"/>
  <c r="H49" i="8"/>
  <c r="M33" i="9"/>
  <c r="H54" i="8"/>
  <c r="M29" i="9"/>
  <c r="H50" i="8"/>
  <c r="D331" i="3"/>
  <c r="E331" i="3" s="1"/>
  <c r="M23" i="9"/>
  <c r="H44" i="8"/>
  <c r="M22" i="9"/>
  <c r="H43" i="8"/>
  <c r="M25" i="9"/>
  <c r="H46" i="8"/>
  <c r="M35" i="9"/>
  <c r="H56" i="8"/>
  <c r="M20" i="9"/>
  <c r="H41" i="8"/>
  <c r="M27" i="9"/>
  <c r="H48" i="8"/>
  <c r="M260" i="3"/>
  <c r="H42" i="8"/>
  <c r="M21" i="9"/>
  <c r="M38" i="9"/>
  <c r="H59" i="8"/>
  <c r="M26" i="9"/>
  <c r="H47" i="8"/>
  <c r="M31" i="9"/>
  <c r="H52" i="8"/>
  <c r="M36" i="9"/>
  <c r="H57" i="8"/>
  <c r="M34" i="9"/>
  <c r="H55" i="8"/>
  <c r="M30" i="9"/>
  <c r="H51" i="8"/>
  <c r="H53" i="8"/>
  <c r="M32" i="9"/>
  <c r="H58" i="8"/>
  <c r="M37" i="9"/>
  <c r="E11" i="5"/>
  <c r="E15" i="5" s="1"/>
  <c r="M288" i="3"/>
  <c r="M307" i="3"/>
  <c r="I446" i="3"/>
  <c r="J446" i="3" s="1"/>
  <c r="M287" i="3"/>
  <c r="M277" i="3"/>
  <c r="I436" i="3"/>
  <c r="J436" i="3" s="1"/>
  <c r="K486" i="3"/>
  <c r="L254" i="3"/>
  <c r="I487" i="3"/>
  <c r="J487" i="3" s="1"/>
  <c r="L33" i="3"/>
  <c r="J64" i="8" s="1"/>
  <c r="L34" i="3"/>
  <c r="J65" i="8" s="1"/>
  <c r="L30" i="3"/>
  <c r="J61" i="8" s="1"/>
  <c r="L32" i="3"/>
  <c r="J63" i="8" s="1"/>
  <c r="L31" i="3"/>
  <c r="J62" i="8" s="1"/>
  <c r="L29" i="3"/>
  <c r="J60" i="8" s="1"/>
  <c r="J155" i="8"/>
  <c r="I149" i="8"/>
  <c r="F19" i="5"/>
  <c r="K155" i="8"/>
  <c r="D332" i="3"/>
  <c r="F87" i="3"/>
  <c r="C27" i="37"/>
  <c r="C26" i="37"/>
  <c r="J149" i="8"/>
  <c r="C32" i="37"/>
  <c r="L21" i="3"/>
  <c r="J52" i="8" s="1"/>
  <c r="L27" i="3"/>
  <c r="J58" i="8" s="1"/>
  <c r="L22" i="3"/>
  <c r="J53" i="8" s="1"/>
  <c r="L23" i="3"/>
  <c r="J54" i="8" s="1"/>
  <c r="L28" i="3"/>
  <c r="J59" i="8" s="1"/>
  <c r="L20" i="3"/>
  <c r="J51" i="8" s="1"/>
  <c r="L24" i="3"/>
  <c r="J55" i="8" s="1"/>
  <c r="M308" i="3"/>
  <c r="M64" i="9"/>
  <c r="J33" i="8"/>
  <c r="C89" i="8" s="1"/>
  <c r="H40" i="8"/>
  <c r="D13" i="11"/>
  <c r="M322" i="3"/>
  <c r="M59" i="9"/>
  <c r="C130" i="51"/>
  <c r="H37" i="20"/>
  <c r="M306" i="3"/>
  <c r="M312" i="3"/>
  <c r="C37" i="51"/>
  <c r="M324" i="3"/>
  <c r="M58" i="9"/>
  <c r="M317" i="3"/>
  <c r="M56" i="9"/>
  <c r="M305" i="3"/>
  <c r="M54" i="9"/>
  <c r="M298" i="3"/>
  <c r="M53" i="9"/>
  <c r="M255" i="3"/>
  <c r="M55" i="9"/>
  <c r="M281" i="3"/>
  <c r="M57" i="9"/>
  <c r="M309" i="3"/>
  <c r="I152" i="8"/>
  <c r="I154" i="8" s="1"/>
  <c r="I157" i="8" s="1"/>
  <c r="I159" i="8" s="1"/>
  <c r="D15" i="5"/>
  <c r="D23" i="5" s="1"/>
  <c r="G22" i="5"/>
  <c r="G101" i="3"/>
  <c r="C35" i="51"/>
  <c r="G94" i="3"/>
  <c r="G93" i="3"/>
  <c r="G92" i="3"/>
  <c r="G91" i="3"/>
  <c r="M19" i="9"/>
  <c r="G109" i="3"/>
  <c r="G170" i="3"/>
  <c r="G130" i="3"/>
  <c r="G176" i="3"/>
  <c r="G139" i="3"/>
  <c r="G158" i="3"/>
  <c r="I16" i="68" l="1"/>
  <c r="C133" i="68"/>
  <c r="E17" i="11"/>
  <c r="E20" i="11"/>
  <c r="E19" i="11"/>
  <c r="E18" i="11"/>
  <c r="C281" i="51"/>
  <c r="K149" i="8"/>
  <c r="F20" i="5"/>
  <c r="G7" i="55"/>
  <c r="G7" i="53"/>
  <c r="D101" i="53"/>
  <c r="D103" i="53" s="1"/>
  <c r="D129" i="55"/>
  <c r="D131" i="55" s="1"/>
  <c r="J23" i="8"/>
  <c r="C156" i="8" s="1"/>
  <c r="D133" i="8"/>
  <c r="F18" i="5"/>
  <c r="F11" i="5"/>
  <c r="C368" i="51" s="1"/>
  <c r="F15" i="5"/>
  <c r="F17" i="5"/>
  <c r="C279" i="51"/>
  <c r="C280" i="51"/>
  <c r="L327" i="3"/>
  <c r="M52" i="9"/>
  <c r="I504" i="3"/>
  <c r="M254" i="3"/>
  <c r="F21" i="5"/>
  <c r="G7" i="37"/>
  <c r="G8" i="37"/>
  <c r="C28" i="37"/>
  <c r="C41" i="37"/>
  <c r="C44" i="37" s="1"/>
  <c r="C38" i="37"/>
  <c r="D89" i="8"/>
  <c r="J27" i="8"/>
  <c r="J26" i="8"/>
  <c r="J152" i="8"/>
  <c r="J154" i="8" s="1"/>
  <c r="J157" i="8" s="1"/>
  <c r="J159" i="8" s="1"/>
  <c r="C29" i="5"/>
  <c r="C33" i="5" s="1"/>
  <c r="C39" i="5" s="1"/>
  <c r="G178" i="3"/>
  <c r="C70" i="51" l="1"/>
  <c r="C71" i="51"/>
  <c r="D38" i="37"/>
  <c r="C39" i="37"/>
  <c r="D39" i="37" s="1"/>
  <c r="J34" i="8"/>
  <c r="M63" i="9"/>
  <c r="C364" i="51"/>
  <c r="C370" i="51"/>
  <c r="G12" i="55"/>
  <c r="C372" i="51"/>
  <c r="C373" i="51"/>
  <c r="C369" i="51"/>
  <c r="C371" i="51"/>
  <c r="C367" i="51"/>
  <c r="E23" i="5"/>
  <c r="E29" i="5" s="1"/>
  <c r="E33" i="5" s="1"/>
  <c r="E39" i="5" s="1"/>
  <c r="J24" i="8"/>
  <c r="C165" i="8"/>
  <c r="C166" i="8" s="1"/>
  <c r="C132" i="51"/>
  <c r="M327" i="3"/>
  <c r="D130" i="8"/>
  <c r="D132" i="8"/>
  <c r="D131" i="8"/>
  <c r="E89" i="8"/>
  <c r="M60" i="9"/>
  <c r="D16" i="37"/>
  <c r="C160" i="8"/>
  <c r="C162" i="8" s="1"/>
  <c r="C163" i="8" s="1"/>
  <c r="C157" i="8"/>
  <c r="C158" i="8" s="1"/>
  <c r="C43" i="51"/>
  <c r="G140" i="8"/>
  <c r="B13" i="8"/>
  <c r="D29" i="5"/>
  <c r="D33" i="5" s="1"/>
  <c r="D39" i="5" s="1"/>
  <c r="C41" i="5" l="1"/>
  <c r="K152" i="8"/>
  <c r="K154" i="8" s="1"/>
  <c r="K157" i="8" s="1"/>
  <c r="K159" i="8" s="1"/>
  <c r="I160" i="8" s="1"/>
  <c r="I161" i="8" s="1"/>
  <c r="F89" i="8"/>
  <c r="D20" i="37"/>
  <c r="C22" i="37" s="1"/>
  <c r="C45" i="51"/>
  <c r="L17" i="3"/>
  <c r="J48" i="8" s="1"/>
  <c r="L16" i="3"/>
  <c r="J47" i="8" s="1"/>
  <c r="L15" i="3"/>
  <c r="J46" i="8" s="1"/>
  <c r="L12" i="3"/>
  <c r="J43" i="8" s="1"/>
  <c r="I140" i="8"/>
  <c r="D13" i="8"/>
  <c r="H140" i="8"/>
  <c r="C13" i="8"/>
  <c r="L14" i="3"/>
  <c r="J45" i="8" s="1"/>
  <c r="L10" i="3"/>
  <c r="J41" i="8" s="1"/>
  <c r="L11" i="3"/>
  <c r="J42" i="8" s="1"/>
  <c r="L9" i="3"/>
  <c r="J40" i="8" s="1"/>
  <c r="L13" i="3"/>
  <c r="J44" i="8" s="1"/>
  <c r="C44" i="51"/>
  <c r="C43" i="37" l="1"/>
  <c r="C65" i="51"/>
  <c r="G89" i="8"/>
  <c r="J140" i="8"/>
  <c r="I162" i="8" s="1"/>
  <c r="E13" i="8"/>
  <c r="C16" i="8" s="1"/>
  <c r="D16" i="8" s="1"/>
  <c r="H89" i="8" l="1"/>
  <c r="P45" i="3"/>
  <c r="I89" i="8" l="1"/>
  <c r="F90" i="3"/>
  <c r="C285" i="51" s="1"/>
  <c r="H76" i="8"/>
  <c r="C80" i="8" s="1"/>
  <c r="C85" i="8" s="1"/>
  <c r="C87" i="8" s="1"/>
  <c r="C112" i="8" s="1"/>
  <c r="M45" i="9"/>
  <c r="J89" i="8" l="1"/>
  <c r="C94" i="8"/>
  <c r="C124" i="8" s="1"/>
  <c r="F95" i="3"/>
  <c r="C290" i="51" s="1"/>
  <c r="G90" i="3"/>
  <c r="D80" i="8"/>
  <c r="E80" i="8" s="1"/>
  <c r="C108" i="8" l="1"/>
  <c r="C123" i="8"/>
  <c r="K89" i="8"/>
  <c r="F96" i="3"/>
  <c r="C109" i="8"/>
  <c r="C101" i="8"/>
  <c r="G95" i="3"/>
  <c r="G96" i="3" s="1"/>
  <c r="G111" i="3" s="1"/>
  <c r="D85" i="8"/>
  <c r="D87" i="8" s="1"/>
  <c r="D112" i="8" s="1"/>
  <c r="F80" i="8"/>
  <c r="E85" i="8"/>
  <c r="E87" i="8" s="1"/>
  <c r="E112" i="8" s="1"/>
  <c r="G180" i="3" l="1"/>
  <c r="C366" i="51" s="1"/>
  <c r="C304" i="51"/>
  <c r="F111" i="3"/>
  <c r="C291" i="51"/>
  <c r="C119" i="8"/>
  <c r="C122" i="8"/>
  <c r="L89" i="8"/>
  <c r="E94" i="8"/>
  <c r="D94" i="8"/>
  <c r="C111" i="8"/>
  <c r="D109" i="8"/>
  <c r="F85" i="8"/>
  <c r="F87" i="8" s="1"/>
  <c r="F112" i="8" s="1"/>
  <c r="G80" i="8"/>
  <c r="H38" i="20" l="1"/>
  <c r="C303" i="51"/>
  <c r="F180" i="3"/>
  <c r="H39" i="20" s="1"/>
  <c r="D108" i="8"/>
  <c r="D123" i="8"/>
  <c r="E109" i="8"/>
  <c r="E123" i="8"/>
  <c r="E103" i="8"/>
  <c r="E104" i="8"/>
  <c r="E105" i="8"/>
  <c r="D105" i="8"/>
  <c r="D99" i="8"/>
  <c r="E102" i="8"/>
  <c r="E108" i="8"/>
  <c r="E101" i="8"/>
  <c r="M89" i="8"/>
  <c r="D98" i="8"/>
  <c r="E98" i="8"/>
  <c r="E100" i="8"/>
  <c r="E99" i="8"/>
  <c r="D101" i="8"/>
  <c r="D103" i="8"/>
  <c r="D104" i="8"/>
  <c r="D100" i="8"/>
  <c r="F94" i="8"/>
  <c r="D102" i="8"/>
  <c r="G85" i="8"/>
  <c r="G87" i="8" s="1"/>
  <c r="G112" i="8" s="1"/>
  <c r="H80" i="8"/>
  <c r="C365" i="51" l="1"/>
  <c r="D122" i="8"/>
  <c r="F109" i="8"/>
  <c r="F123" i="8"/>
  <c r="E122" i="8"/>
  <c r="N89" i="8"/>
  <c r="D111" i="8"/>
  <c r="E119" i="8"/>
  <c r="F105" i="8"/>
  <c r="F99" i="8"/>
  <c r="E111" i="8"/>
  <c r="F108" i="8"/>
  <c r="F104" i="8"/>
  <c r="F103" i="8"/>
  <c r="F102" i="8"/>
  <c r="F101" i="8"/>
  <c r="F100" i="8"/>
  <c r="F98" i="8"/>
  <c r="D119" i="8"/>
  <c r="G94" i="8"/>
  <c r="I80" i="8"/>
  <c r="H85" i="8"/>
  <c r="H87" i="8" s="1"/>
  <c r="H112" i="8" s="1"/>
  <c r="G109" i="8" l="1"/>
  <c r="G123" i="8"/>
  <c r="F122" i="8"/>
  <c r="O89" i="8"/>
  <c r="G99" i="8"/>
  <c r="G101" i="8"/>
  <c r="F111" i="8"/>
  <c r="G105" i="8"/>
  <c r="F119" i="8"/>
  <c r="G98" i="8"/>
  <c r="G108" i="8"/>
  <c r="G102" i="8"/>
  <c r="G104" i="8"/>
  <c r="G103" i="8"/>
  <c r="G100" i="8"/>
  <c r="H94" i="8"/>
  <c r="J80" i="8"/>
  <c r="I85" i="8"/>
  <c r="I87" i="8" s="1"/>
  <c r="I112" i="8" s="1"/>
  <c r="H109" i="8" l="1"/>
  <c r="H123" i="8"/>
  <c r="G122" i="8"/>
  <c r="P89" i="8"/>
  <c r="G119" i="8"/>
  <c r="G111" i="8"/>
  <c r="H108" i="8"/>
  <c r="H99" i="8"/>
  <c r="H98" i="8"/>
  <c r="H102" i="8"/>
  <c r="H104" i="8"/>
  <c r="H100" i="8"/>
  <c r="H101" i="8"/>
  <c r="H103" i="8"/>
  <c r="H105" i="8"/>
  <c r="I94" i="8"/>
  <c r="J85" i="8"/>
  <c r="J87" i="8" s="1"/>
  <c r="J112" i="8" s="1"/>
  <c r="K80" i="8"/>
  <c r="I109" i="8" l="1"/>
  <c r="I123" i="8"/>
  <c r="H122" i="8"/>
  <c r="I98" i="8"/>
  <c r="Q89" i="8"/>
  <c r="H119" i="8"/>
  <c r="I104" i="8"/>
  <c r="H111" i="8"/>
  <c r="I105" i="8"/>
  <c r="I101" i="8"/>
  <c r="I100" i="8"/>
  <c r="I108" i="8"/>
  <c r="I103" i="8"/>
  <c r="I99" i="8"/>
  <c r="I102" i="8"/>
  <c r="J94" i="8"/>
  <c r="L80" i="8"/>
  <c r="K85" i="8"/>
  <c r="K87" i="8" s="1"/>
  <c r="K112" i="8" s="1"/>
  <c r="J109" i="8" l="1"/>
  <c r="J123" i="8"/>
  <c r="I122" i="8"/>
  <c r="R89" i="8"/>
  <c r="S89" i="8" s="1"/>
  <c r="T89" i="8" s="1"/>
  <c r="U89" i="8" s="1"/>
  <c r="V89" i="8" s="1"/>
  <c r="W89" i="8" s="1"/>
  <c r="X89" i="8" s="1"/>
  <c r="Y89" i="8" s="1"/>
  <c r="Z89" i="8" s="1"/>
  <c r="AA89" i="8" s="1"/>
  <c r="AB89" i="8" s="1"/>
  <c r="AC89" i="8" s="1"/>
  <c r="AD89" i="8" s="1"/>
  <c r="AE89" i="8" s="1"/>
  <c r="AF89" i="8" s="1"/>
  <c r="I119" i="8"/>
  <c r="I111" i="8"/>
  <c r="K94" i="8"/>
  <c r="J98" i="8"/>
  <c r="J100" i="8"/>
  <c r="J101" i="8"/>
  <c r="J108" i="8"/>
  <c r="J103" i="8"/>
  <c r="J105" i="8"/>
  <c r="J102" i="8"/>
  <c r="J104" i="8"/>
  <c r="J99" i="8"/>
  <c r="M80" i="8"/>
  <c r="L85" i="8"/>
  <c r="L87" i="8" s="1"/>
  <c r="L112" i="8" s="1"/>
  <c r="K109" i="8" l="1"/>
  <c r="K123" i="8"/>
  <c r="J122" i="8"/>
  <c r="K102" i="8"/>
  <c r="K103" i="8"/>
  <c r="K104" i="8"/>
  <c r="K108" i="8"/>
  <c r="K99" i="8"/>
  <c r="K105" i="8"/>
  <c r="K100" i="8"/>
  <c r="K101" i="8"/>
  <c r="K98" i="8"/>
  <c r="J119" i="8"/>
  <c r="J111" i="8"/>
  <c r="L94" i="8"/>
  <c r="M85" i="8"/>
  <c r="M87" i="8" s="1"/>
  <c r="M112" i="8" s="1"/>
  <c r="N80" i="8"/>
  <c r="L109" i="8" l="1"/>
  <c r="L123" i="8"/>
  <c r="K122" i="8"/>
  <c r="K119" i="8"/>
  <c r="K111" i="8"/>
  <c r="L104" i="8"/>
  <c r="L99" i="8"/>
  <c r="L101" i="8"/>
  <c r="L105" i="8"/>
  <c r="L98" i="8"/>
  <c r="L103" i="8"/>
  <c r="L100" i="8"/>
  <c r="L102" i="8"/>
  <c r="L108" i="8"/>
  <c r="M94" i="8"/>
  <c r="O80" i="8"/>
  <c r="N85" i="8"/>
  <c r="N87" i="8" s="1"/>
  <c r="N112" i="8" s="1"/>
  <c r="M109" i="8" l="1"/>
  <c r="M123" i="8"/>
  <c r="L122" i="8"/>
  <c r="L119" i="8"/>
  <c r="M105" i="8"/>
  <c r="M104" i="8"/>
  <c r="M98" i="8"/>
  <c r="M103" i="8"/>
  <c r="M108" i="8"/>
  <c r="M100" i="8"/>
  <c r="L111" i="8"/>
  <c r="M99" i="8"/>
  <c r="M102" i="8"/>
  <c r="M101" i="8"/>
  <c r="N94" i="8"/>
  <c r="P80" i="8"/>
  <c r="O85" i="8"/>
  <c r="O87" i="8" s="1"/>
  <c r="O112" i="8" s="1"/>
  <c r="N109" i="8" l="1"/>
  <c r="N123" i="8"/>
  <c r="N104" i="8"/>
  <c r="N103" i="8"/>
  <c r="M122" i="8"/>
  <c r="N105" i="8"/>
  <c r="N99" i="8"/>
  <c r="M119" i="8"/>
  <c r="N101" i="8"/>
  <c r="M111" i="8"/>
  <c r="N100" i="8"/>
  <c r="N98" i="8"/>
  <c r="N108" i="8"/>
  <c r="N102" i="8"/>
  <c r="O94" i="8"/>
  <c r="P85" i="8"/>
  <c r="P87" i="8" s="1"/>
  <c r="P112" i="8" s="1"/>
  <c r="Q80" i="8"/>
  <c r="O109" i="8" l="1"/>
  <c r="O123" i="8"/>
  <c r="N122" i="8"/>
  <c r="N119" i="8"/>
  <c r="O100" i="8"/>
  <c r="N111" i="8"/>
  <c r="O104" i="8"/>
  <c r="O99" i="8"/>
  <c r="O98" i="8"/>
  <c r="O105" i="8"/>
  <c r="O108" i="8"/>
  <c r="O101" i="8"/>
  <c r="O103" i="8"/>
  <c r="O102" i="8"/>
  <c r="P94" i="8"/>
  <c r="Q85" i="8"/>
  <c r="Q87" i="8" s="1"/>
  <c r="Q112" i="8" s="1"/>
  <c r="R80" i="8"/>
  <c r="P109" i="8" l="1"/>
  <c r="P123" i="8"/>
  <c r="O122" i="8"/>
  <c r="O111" i="8"/>
  <c r="O119" i="8"/>
  <c r="P99" i="8"/>
  <c r="P102" i="8"/>
  <c r="P98" i="8"/>
  <c r="P100" i="8"/>
  <c r="P101" i="8"/>
  <c r="P104" i="8"/>
  <c r="P108" i="8"/>
  <c r="P103" i="8"/>
  <c r="Q94" i="8"/>
  <c r="P105" i="8"/>
  <c r="R85" i="8"/>
  <c r="R87" i="8" s="1"/>
  <c r="R112" i="8" s="1"/>
  <c r="S80" i="8"/>
  <c r="Q109" i="8" l="1"/>
  <c r="C126" i="8" s="1"/>
  <c r="Q123" i="8"/>
  <c r="P122" i="8"/>
  <c r="Q102" i="8"/>
  <c r="Q108" i="8"/>
  <c r="Q98" i="8"/>
  <c r="Q99" i="8"/>
  <c r="Q105" i="8"/>
  <c r="Q103" i="8"/>
  <c r="P111" i="8"/>
  <c r="Q104" i="8"/>
  <c r="P119" i="8"/>
  <c r="Q101" i="8"/>
  <c r="Q100" i="8"/>
  <c r="R94" i="8"/>
  <c r="R109" i="8" s="1"/>
  <c r="S85" i="8"/>
  <c r="S87" i="8" s="1"/>
  <c r="T80" i="8"/>
  <c r="S94" i="8" l="1"/>
  <c r="S109" i="8" s="1"/>
  <c r="S112" i="8"/>
  <c r="C127" i="8"/>
  <c r="Q122" i="8"/>
  <c r="R99" i="8"/>
  <c r="Q119" i="8"/>
  <c r="R98" i="8"/>
  <c r="R105" i="8"/>
  <c r="R108" i="8"/>
  <c r="R101" i="8"/>
  <c r="Q111" i="8"/>
  <c r="R103" i="8"/>
  <c r="R104" i="8"/>
  <c r="R102" i="8"/>
  <c r="R100" i="8"/>
  <c r="T85" i="8"/>
  <c r="T87" i="8" s="1"/>
  <c r="U80" i="8"/>
  <c r="S100" i="8" l="1"/>
  <c r="S99" i="8"/>
  <c r="S103" i="8"/>
  <c r="S102" i="8"/>
  <c r="S101" i="8"/>
  <c r="S108" i="8"/>
  <c r="S98" i="8"/>
  <c r="S104" i="8"/>
  <c r="S105" i="8"/>
  <c r="T94" i="8"/>
  <c r="T109" i="8" s="1"/>
  <c r="T112" i="8"/>
  <c r="R111" i="8"/>
  <c r="U85" i="8"/>
  <c r="U87" i="8" s="1"/>
  <c r="V80" i="8"/>
  <c r="S111" i="8" l="1"/>
  <c r="T102" i="8"/>
  <c r="T104" i="8"/>
  <c r="T99" i="8"/>
  <c r="T100" i="8"/>
  <c r="T103" i="8"/>
  <c r="T98" i="8"/>
  <c r="T105" i="8"/>
  <c r="T108" i="8"/>
  <c r="T101" i="8"/>
  <c r="U94" i="8"/>
  <c r="U109" i="8" s="1"/>
  <c r="U112" i="8"/>
  <c r="W80" i="8"/>
  <c r="V85" i="8"/>
  <c r="V87" i="8" s="1"/>
  <c r="U104" i="8"/>
  <c r="U98" i="8"/>
  <c r="U102" i="8" l="1"/>
  <c r="T111" i="8"/>
  <c r="U105" i="8"/>
  <c r="U99" i="8"/>
  <c r="U108" i="8"/>
  <c r="U100" i="8"/>
  <c r="U101" i="8"/>
  <c r="U103" i="8"/>
  <c r="V94" i="8"/>
  <c r="V109" i="8" s="1"/>
  <c r="V112" i="8"/>
  <c r="W85" i="8"/>
  <c r="W87" i="8" s="1"/>
  <c r="X80" i="8"/>
  <c r="U111" i="8" l="1"/>
  <c r="V108" i="8"/>
  <c r="V100" i="8"/>
  <c r="V99" i="8"/>
  <c r="V103" i="8"/>
  <c r="V101" i="8"/>
  <c r="V104" i="8"/>
  <c r="V102" i="8"/>
  <c r="V105" i="8"/>
  <c r="V98" i="8"/>
  <c r="W94" i="8"/>
  <c r="W109" i="8" s="1"/>
  <c r="W112" i="8"/>
  <c r="Y80" i="8"/>
  <c r="X85" i="8"/>
  <c r="X87" i="8" s="1"/>
  <c r="V111" i="8" l="1"/>
  <c r="W98" i="8"/>
  <c r="W99" i="8"/>
  <c r="W104" i="8"/>
  <c r="W105" i="8"/>
  <c r="W103" i="8"/>
  <c r="W101" i="8"/>
  <c r="W100" i="8"/>
  <c r="W102" i="8"/>
  <c r="W108" i="8"/>
  <c r="X94" i="8"/>
  <c r="X109" i="8" s="1"/>
  <c r="X112" i="8"/>
  <c r="Y85" i="8"/>
  <c r="Y87" i="8" s="1"/>
  <c r="Z80" i="8"/>
  <c r="W111" i="8" l="1"/>
  <c r="X101" i="8"/>
  <c r="X100" i="8"/>
  <c r="X98" i="8"/>
  <c r="X108" i="8"/>
  <c r="X105" i="8"/>
  <c r="X103" i="8"/>
  <c r="X102" i="8"/>
  <c r="X104" i="8"/>
  <c r="X99" i="8"/>
  <c r="Y94" i="8"/>
  <c r="Y109" i="8" s="1"/>
  <c r="Y112" i="8"/>
  <c r="AA80" i="8"/>
  <c r="Z85" i="8"/>
  <c r="Z87" i="8" s="1"/>
  <c r="Y101" i="8"/>
  <c r="X111" i="8" l="1"/>
  <c r="Y98" i="8"/>
  <c r="Y103" i="8"/>
  <c r="Y108" i="8"/>
  <c r="Y102" i="8"/>
  <c r="Y104" i="8"/>
  <c r="Y105" i="8"/>
  <c r="Y99" i="8"/>
  <c r="Y100" i="8"/>
  <c r="Z94" i="8"/>
  <c r="Z109" i="8" s="1"/>
  <c r="Z112" i="8"/>
  <c r="AA85" i="8"/>
  <c r="AA87" i="8" s="1"/>
  <c r="AB80" i="8"/>
  <c r="Y111" i="8" l="1"/>
  <c r="Z108" i="8"/>
  <c r="Z98" i="8"/>
  <c r="Z101" i="8"/>
  <c r="Z99" i="8"/>
  <c r="Z105" i="8"/>
  <c r="Z104" i="8"/>
  <c r="Z102" i="8"/>
  <c r="Z103" i="8"/>
  <c r="Z100" i="8"/>
  <c r="AA94" i="8"/>
  <c r="AA109" i="8" s="1"/>
  <c r="AA112" i="8"/>
  <c r="AC80" i="8"/>
  <c r="AB85" i="8"/>
  <c r="AB87" i="8" s="1"/>
  <c r="Z111" i="8" l="1"/>
  <c r="AA99" i="8"/>
  <c r="AA104" i="8"/>
  <c r="AA108" i="8"/>
  <c r="AA100" i="8"/>
  <c r="AA103" i="8"/>
  <c r="AA105" i="8"/>
  <c r="AA98" i="8"/>
  <c r="AA101" i="8"/>
  <c r="AA102" i="8"/>
  <c r="AB94" i="8"/>
  <c r="AB109" i="8" s="1"/>
  <c r="AB112" i="8"/>
  <c r="AC85" i="8"/>
  <c r="AC87" i="8" s="1"/>
  <c r="AD80" i="8"/>
  <c r="AA111" i="8" l="1"/>
  <c r="AB101" i="8"/>
  <c r="AB102" i="8"/>
  <c r="AB103" i="8"/>
  <c r="AB100" i="8"/>
  <c r="AB98" i="8"/>
  <c r="AB99" i="8"/>
  <c r="AB108" i="8"/>
  <c r="AB104" i="8"/>
  <c r="AB105" i="8"/>
  <c r="AC94" i="8"/>
  <c r="AC109" i="8" s="1"/>
  <c r="AC112" i="8"/>
  <c r="AD85" i="8"/>
  <c r="AD87" i="8" s="1"/>
  <c r="AE80" i="8"/>
  <c r="AC105" i="8"/>
  <c r="AC108" i="8"/>
  <c r="AC103" i="8" l="1"/>
  <c r="AB111" i="8"/>
  <c r="AC99" i="8"/>
  <c r="AC100" i="8"/>
  <c r="AC102" i="8"/>
  <c r="AC104" i="8"/>
  <c r="AC101" i="8"/>
  <c r="AC98" i="8"/>
  <c r="AD94" i="8"/>
  <c r="AD109" i="8" s="1"/>
  <c r="AD112" i="8"/>
  <c r="AE85" i="8"/>
  <c r="AE87" i="8" s="1"/>
  <c r="AF80" i="8"/>
  <c r="AF85" i="8" s="1"/>
  <c r="AF87" i="8" s="1"/>
  <c r="AC111" i="8" l="1"/>
  <c r="AD98" i="8"/>
  <c r="AD104" i="8"/>
  <c r="AD103" i="8"/>
  <c r="AD105" i="8"/>
  <c r="AD108" i="8"/>
  <c r="AD101" i="8"/>
  <c r="AD99" i="8"/>
  <c r="AD100" i="8"/>
  <c r="AD102" i="8"/>
  <c r="AF94" i="8"/>
  <c r="AF109" i="8" s="1"/>
  <c r="AF112" i="8"/>
  <c r="AE94" i="8"/>
  <c r="AE109" i="8" s="1"/>
  <c r="AE112" i="8"/>
  <c r="AE102" i="8" l="1"/>
  <c r="AE98" i="8"/>
  <c r="AE108" i="8"/>
  <c r="AD111" i="8"/>
  <c r="AE104" i="8"/>
  <c r="AE99" i="8"/>
  <c r="AF99" i="8"/>
  <c r="AF101" i="8"/>
  <c r="AF100" i="8"/>
  <c r="AF98" i="8"/>
  <c r="AF102" i="8"/>
  <c r="AF108" i="8"/>
  <c r="AF104" i="8"/>
  <c r="AF105" i="8"/>
  <c r="AE100" i="8"/>
  <c r="AF103" i="8"/>
  <c r="AE101" i="8"/>
  <c r="AE105" i="8"/>
  <c r="AE103" i="8"/>
  <c r="AE111" i="8" l="1"/>
  <c r="AF11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Samantha Makoski</author>
  </authors>
  <commentList>
    <comment ref="D31" authorId="0" shapeId="0" xr:uid="{00000000-0006-0000-0100-000001000000}">
      <text>
        <r>
          <rPr>
            <b/>
            <sz val="9"/>
            <color indexed="81"/>
            <rFont val="Tahoma"/>
            <charset val="1"/>
          </rPr>
          <t>Samantha Makoski:</t>
        </r>
        <r>
          <rPr>
            <sz val="9"/>
            <color indexed="81"/>
            <rFont val="Tahoma"/>
            <charset val="1"/>
          </rPr>
          <t xml:space="preserve">
follow up with taylor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Boos, Carlie</author>
  </authors>
  <commentList>
    <comment ref="B6" authorId="0" shapeId="0" xr:uid="{00000000-0006-0000-0300-000001000000}">
      <text>
        <r>
          <rPr>
            <b/>
            <sz val="9"/>
            <color indexed="81"/>
            <rFont val="Tahoma"/>
            <family val="2"/>
          </rPr>
          <t>An application number is not required at proposal.</t>
        </r>
      </text>
    </comment>
    <comment ref="E11" authorId="0" shapeId="0" xr:uid="{00000000-0006-0000-0300-000002000000}">
      <text>
        <r>
          <rPr>
            <b/>
            <sz val="9"/>
            <color indexed="81"/>
            <rFont val="Tahoma"/>
            <family val="2"/>
          </rPr>
          <t xml:space="preserve"> If multiple, provide tract with most affordable units.
11 Digit Primary Census Tract Number, No Spaces or Punctuation. 11-digit code is State Code + County Code + Tract Code.  
Applicants may find the 11-digit code in the linked Census Bureau website or in Column A on the "Data" tab.</t>
        </r>
      </text>
    </comment>
    <comment ref="B16" authorId="0" shapeId="0" xr:uid="{00000000-0006-0000-0300-000003000000}">
      <text>
        <r>
          <rPr>
            <b/>
            <sz val="9"/>
            <color indexed="81"/>
            <rFont val="Tahoma"/>
            <family val="2"/>
          </rPr>
          <t>This is only applicable if you successfully appealed the opportunity rating of your census tract based on an data error related to applicable school district. If true, please contact OHFA immediately for a customized AHFA.  You must provide a copy of the Kirwan Institute's successful appeal confirmation letter.</t>
        </r>
      </text>
    </comment>
    <comment ref="B63" authorId="0" shapeId="0" xr:uid="{00000000-0006-0000-0300-000004000000}">
      <text>
        <r>
          <rPr>
            <b/>
            <sz val="9"/>
            <color indexed="81"/>
            <rFont val="Tahoma"/>
            <family val="2"/>
          </rPr>
          <t>Intended for, and solely occupied by persons 62 years of age or older; or
Intended and operated for occupancy by persons 55 years of age or older.</t>
        </r>
      </text>
    </comment>
    <comment ref="E65" authorId="0" shapeId="0" xr:uid="{00000000-0006-0000-0300-000005000000}">
      <text>
        <r>
          <rPr>
            <b/>
            <sz val="9"/>
            <color indexed="81"/>
            <rFont val="Tahoma"/>
            <family val="2"/>
          </rPr>
          <t>Cell Auto Populates from the Budget Tab.</t>
        </r>
      </text>
    </comment>
    <comment ref="D86" authorId="0" shapeId="0" xr:uid="{00000000-0006-0000-0300-000006000000}">
      <text>
        <r>
          <rPr>
            <b/>
            <sz val="9"/>
            <color indexed="81"/>
            <rFont val="Tahoma"/>
            <family val="2"/>
          </rPr>
          <t>Enter full parcel number even if only partial number displays in the box below.</t>
        </r>
      </text>
    </comment>
    <comment ref="F86" authorId="0" shapeId="0" xr:uid="{00000000-0006-0000-0300-000007000000}">
      <text>
        <r>
          <rPr>
            <b/>
            <sz val="9"/>
            <color indexed="81"/>
            <rFont val="Tahoma"/>
            <family val="2"/>
          </rPr>
          <t xml:space="preserve">If purchase price is not available on a per building basis, enter the full purchase price in the first row only.
 </t>
        </r>
      </text>
    </comment>
    <comment ref="L86" authorId="0" shapeId="0" xr:uid="{00000000-0006-0000-0300-000008000000}">
      <text>
        <r>
          <rPr>
            <b/>
            <sz val="9"/>
            <color indexed="81"/>
            <rFont val="Tahoma"/>
            <family val="2"/>
          </rPr>
          <t>Enter full seller name even if only partial name displays in the box below.</t>
        </r>
      </text>
    </comment>
    <comment ref="M86" authorId="0" shapeId="0" xr:uid="{00000000-0006-0000-0300-000009000000}">
      <text>
        <r>
          <rPr>
            <b/>
            <sz val="9"/>
            <color indexed="81"/>
            <rFont val="Tahoma"/>
            <family val="2"/>
          </rPr>
          <t>Enter full seller address even if only partial name is visible in the box below.</t>
        </r>
      </text>
    </comment>
    <comment ref="B220" authorId="0" shapeId="0" xr:uid="{00000000-0006-0000-0300-00000A000000}">
      <text>
        <r>
          <rPr>
            <b/>
            <sz val="9"/>
            <color indexed="81"/>
            <rFont val="Tahoma"/>
            <family val="2"/>
          </rPr>
          <t>All non-dwelling space must be provided, even if included in HTC (including detached community buildings).</t>
        </r>
      </text>
    </comment>
    <comment ref="B224" authorId="0" shapeId="0" xr:uid="{00000000-0006-0000-0300-00000B000000}">
      <text>
        <r>
          <rPr>
            <b/>
            <sz val="9"/>
            <color indexed="81"/>
            <rFont val="Tahoma"/>
            <family val="2"/>
          </rPr>
          <t>This may include basis-eligible, detached common area space.</t>
        </r>
      </text>
    </comment>
    <comment ref="B240" authorId="0" shapeId="0" xr:uid="{00000000-0006-0000-0300-00000C000000}">
      <text>
        <r>
          <rPr>
            <b/>
            <sz val="9"/>
            <color indexed="81"/>
            <rFont val="Tahoma"/>
            <family val="2"/>
          </rPr>
          <t xml:space="preserve">Measure from exterior face of exterior building, including structured exterior spaces (stair, balcony, portico). </t>
        </r>
      </text>
    </comment>
    <comment ref="B241" authorId="0" shapeId="0" xr:uid="{00000000-0006-0000-0300-00000D000000}">
      <text>
        <r>
          <rPr>
            <b/>
            <sz val="9"/>
            <color indexed="81"/>
            <rFont val="Tahoma"/>
            <family val="2"/>
          </rPr>
          <t xml:space="preserve">Legally separate space under control of another program or condominimized legal separation.
</t>
        </r>
      </text>
    </comment>
    <comment ref="B242" authorId="0" shapeId="0" xr:uid="{00000000-0006-0000-0300-00000E000000}">
      <text>
        <r>
          <rPr>
            <b/>
            <sz val="9"/>
            <color indexed="81"/>
            <rFont val="Tahoma"/>
            <family val="2"/>
          </rPr>
          <t>Includes Garages, Storage, and other spaces for which residents must pay a fee for use/access.</t>
        </r>
      </text>
    </comment>
    <comment ref="B243" authorId="0" shapeId="0" xr:uid="{00000000-0006-0000-0300-00000F000000}">
      <text>
        <r>
          <rPr>
            <b/>
            <sz val="9"/>
            <color indexed="81"/>
            <rFont val="Tahoma"/>
            <family val="2"/>
          </rPr>
          <t>Includes lofts, mezzanine and restricted headroom areas</t>
        </r>
      </text>
    </comment>
    <comment ref="B244" authorId="0" shapeId="0" xr:uid="{00000000-0006-0000-0300-000010000000}">
      <text>
        <r>
          <rPr>
            <b/>
            <sz val="9"/>
            <color indexed="81"/>
            <rFont val="Tahoma"/>
            <family val="2"/>
          </rPr>
          <t>Includes lofts, mezzanine and restricted headroom areas</t>
        </r>
      </text>
    </comment>
    <comment ref="B245" authorId="0" shapeId="0" xr:uid="{00000000-0006-0000-0300-000011000000}">
      <text>
        <r>
          <rPr>
            <b/>
            <sz val="9"/>
            <color indexed="81"/>
            <rFont val="Tahoma"/>
            <family val="2"/>
          </rPr>
          <t>Includes lofts, mezzanine and restricted headroom areas</t>
        </r>
      </text>
    </comment>
    <comment ref="B246" authorId="0" shapeId="0" xr:uid="{00000000-0006-0000-0300-000012000000}">
      <text>
        <r>
          <rPr>
            <b/>
            <sz val="9"/>
            <color indexed="81"/>
            <rFont val="Tahoma"/>
            <family val="2"/>
          </rPr>
          <t>Public restrooms, community rooms, libraries, offices, meeting rooms, kitchens, car canopy, portico, fitness rooms, laundry, mailboxes.</t>
        </r>
      </text>
    </comment>
    <comment ref="B247" authorId="0" shapeId="0" xr:uid="{00000000-0006-0000-0300-000013000000}">
      <text>
        <r>
          <rPr>
            <b/>
            <sz val="9"/>
            <color indexed="81"/>
            <rFont val="Tahoma"/>
            <family val="2"/>
          </rPr>
          <t>Public hallways, stairways,  and corridors to residential units.</t>
        </r>
      </text>
    </comment>
    <comment ref="B248" authorId="0" shapeId="0" xr:uid="{00000000-0006-0000-0300-000014000000}">
      <text>
        <r>
          <rPr>
            <b/>
            <sz val="9"/>
            <color indexed="81"/>
            <rFont val="Tahoma"/>
            <family val="2"/>
          </rPr>
          <t>Counseling space, wellness and health clinic areas, day care centers, etc.</t>
        </r>
      </text>
    </comment>
    <comment ref="B249" authorId="0" shapeId="0" xr:uid="{00000000-0006-0000-0300-000015000000}">
      <text>
        <r>
          <rPr>
            <b/>
            <sz val="9"/>
            <color indexed="81"/>
            <rFont val="Tahoma"/>
            <family val="2"/>
          </rPr>
          <t>Exterior spaces with access only through residential unit. i.e. balcony/porch/deck (patios without roof are not included - see construction cost detail - on site improvements)</t>
        </r>
      </text>
    </comment>
    <comment ref="B250" authorId="0" shapeId="0" xr:uid="{00000000-0006-0000-0300-000016000000}">
      <text>
        <r>
          <rPr>
            <b/>
            <sz val="9"/>
            <color indexed="81"/>
            <rFont val="Tahoma"/>
            <family val="2"/>
          </rPr>
          <t>Electrical, mechanical, elevator room, sprinkler room, janitorial, trash, maintenance, storage that is not for tenant use.</t>
        </r>
      </text>
    </comment>
    <comment ref="B251" authorId="0" shapeId="0" xr:uid="{00000000-0006-0000-0300-000017000000}">
      <text>
        <r>
          <rPr>
            <b/>
            <sz val="9"/>
            <color indexed="81"/>
            <rFont val="Tahoma"/>
            <family val="2"/>
          </rPr>
          <t>Tenant storage outside of unit.</t>
        </r>
      </text>
    </comment>
    <comment ref="B252" authorId="0" shapeId="0" xr:uid="{00000000-0006-0000-0300-000018000000}">
      <text>
        <r>
          <rPr>
            <b/>
            <sz val="9"/>
            <color indexed="81"/>
            <rFont val="Tahoma"/>
            <family val="2"/>
          </rPr>
          <t>Includes duct shafts, stair shaft, elevator shaft, space open to below.</t>
        </r>
      </text>
    </comment>
    <comment ref="B253" authorId="0" shapeId="0" xr:uid="{00000000-0006-0000-0300-000019000000}">
      <text>
        <r>
          <rPr>
            <b/>
            <sz val="9"/>
            <color indexed="81"/>
            <rFont val="Tahoma"/>
            <family val="2"/>
          </rPr>
          <t>Free standing maintenance buildings are included in support.</t>
        </r>
      </text>
    </comment>
    <comment ref="B254" authorId="0" shapeId="0" xr:uid="{00000000-0006-0000-0300-00001A000000}">
      <text>
        <r>
          <rPr>
            <b/>
            <sz val="9"/>
            <color indexed="81"/>
            <rFont val="Tahoma"/>
            <family val="2"/>
          </rPr>
          <t>Includes spaces with a minimum of 7' clear head height. Spaces less than 7' are crawl spaces per RCO 305.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Alecusan, Diane</author>
    <author>Boos, Carlie</author>
  </authors>
  <commentList>
    <comment ref="C56" authorId="0" shapeId="0" xr:uid="{00000000-0006-0000-0400-000001000000}">
      <text>
        <r>
          <rPr>
            <sz val="9"/>
            <color indexed="81"/>
            <rFont val="Tahoma"/>
            <family val="2"/>
          </rPr>
          <t xml:space="preserve">For projects selecting the </t>
        </r>
        <r>
          <rPr>
            <b/>
            <sz val="9"/>
            <color indexed="81"/>
            <rFont val="Tahoma"/>
            <family val="2"/>
          </rPr>
          <t>Average Income</t>
        </r>
        <r>
          <rPr>
            <sz val="9"/>
            <color indexed="81"/>
            <rFont val="Tahoma"/>
            <family val="2"/>
          </rPr>
          <t xml:space="preserve"> minimum set-aside, "Affordable" units are those HTC
units that are designated in rows 9-34 as having a rent limit at or below 80% AMI (Column G). 
For projects selecting the </t>
        </r>
        <r>
          <rPr>
            <b/>
            <sz val="9"/>
            <color indexed="81"/>
            <rFont val="Tahoma"/>
            <family val="2"/>
          </rPr>
          <t>40/60 or 20/50</t>
        </r>
        <r>
          <rPr>
            <sz val="9"/>
            <color indexed="81"/>
            <rFont val="Tahoma"/>
            <family val="2"/>
          </rPr>
          <t xml:space="preserve"> minimum set-aside, "Affordable" units are those HTC units that are designated in rows 9-34 as having a rent limit at or below 60% AMI (Column G). </t>
        </r>
      </text>
    </comment>
    <comment ref="C58" authorId="0" shapeId="0" xr:uid="{00000000-0006-0000-0400-000002000000}">
      <text>
        <r>
          <rPr>
            <sz val="9"/>
            <color indexed="81"/>
            <rFont val="Tahoma"/>
            <family val="2"/>
          </rPr>
          <t xml:space="preserve">For projects selecting the </t>
        </r>
        <r>
          <rPr>
            <b/>
            <sz val="9"/>
            <color indexed="81"/>
            <rFont val="Tahoma"/>
            <family val="2"/>
          </rPr>
          <t>Average Income</t>
        </r>
        <r>
          <rPr>
            <sz val="9"/>
            <color indexed="81"/>
            <rFont val="Tahoma"/>
            <family val="2"/>
          </rPr>
          <t xml:space="preserve"> minimum set-aside, "Affordable" units are those HTC units that are designated in rows 9-34 as having a rent limit at or below 80% AMI (Column G). 
For projects selecting the </t>
        </r>
        <r>
          <rPr>
            <b/>
            <sz val="9"/>
            <color indexed="81"/>
            <rFont val="Tahoma"/>
            <family val="2"/>
          </rPr>
          <t xml:space="preserve">40/60 or 20/50 </t>
        </r>
        <r>
          <rPr>
            <sz val="9"/>
            <color indexed="81"/>
            <rFont val="Tahoma"/>
            <family val="2"/>
          </rPr>
          <t xml:space="preserve">minimum set-aside, "Affordable" units are those HTC units that are designated in rows 9-34 as having a rent limit at or below 60% AMI (Column G). </t>
        </r>
      </text>
    </comment>
    <comment ref="C60" authorId="0" shapeId="0" xr:uid="{00000000-0006-0000-0400-000003000000}">
      <text>
        <r>
          <rPr>
            <sz val="9"/>
            <color indexed="81"/>
            <rFont val="Tahoma"/>
            <family val="2"/>
          </rPr>
          <t xml:space="preserve">For projects selecting the </t>
        </r>
        <r>
          <rPr>
            <b/>
            <sz val="9"/>
            <color indexed="81"/>
            <rFont val="Tahoma"/>
            <family val="2"/>
          </rPr>
          <t xml:space="preserve">Average Income </t>
        </r>
        <r>
          <rPr>
            <sz val="9"/>
            <color indexed="81"/>
            <rFont val="Tahoma"/>
            <family val="2"/>
          </rPr>
          <t xml:space="preserve">minimum set-aside, "Affordable" units are those HTC units that are designated in rows 9-34 as having a rent limit at or below 80% AMI (Column G). 
For projects selecting the </t>
        </r>
        <r>
          <rPr>
            <b/>
            <sz val="9"/>
            <color indexed="81"/>
            <rFont val="Tahoma"/>
            <family val="2"/>
          </rPr>
          <t>40/60 or 20/50</t>
        </r>
        <r>
          <rPr>
            <sz val="9"/>
            <color indexed="81"/>
            <rFont val="Tahoma"/>
            <family val="2"/>
          </rPr>
          <t xml:space="preserve"> minimum set-aside, "Affordable" units are those HTC units that are designated in rows 9-34 as having a rent limit at or below 60% AMI (Column G). </t>
        </r>
      </text>
    </comment>
    <comment ref="C127" authorId="0" shapeId="0" xr:uid="{00000000-0006-0000-0400-000004000000}">
      <text>
        <r>
          <rPr>
            <b/>
            <sz val="9"/>
            <color indexed="81"/>
            <rFont val="Tahoma"/>
            <family val="2"/>
          </rPr>
          <t>Expenses for service coordination may be entered in this line item.</t>
        </r>
        <r>
          <rPr>
            <sz val="9"/>
            <color indexed="81"/>
            <rFont val="Tahoma"/>
            <family val="2"/>
          </rPr>
          <t xml:space="preserve"> </t>
        </r>
      </text>
    </comment>
    <comment ref="H237" authorId="1" shapeId="0" xr:uid="{00000000-0006-0000-0400-000005000000}">
      <text>
        <r>
          <rPr>
            <b/>
            <sz val="9"/>
            <color indexed="81"/>
            <rFont val="Tahoma"/>
            <family val="2"/>
          </rPr>
          <t xml:space="preserve">If no interest rate is entered, a de Minimis rate will be used for pro forma. </t>
        </r>
      </text>
    </comment>
    <comment ref="K237" authorId="1" shapeId="0" xr:uid="{00000000-0006-0000-0400-000006000000}">
      <text>
        <r>
          <rPr>
            <b/>
            <sz val="9"/>
            <color indexed="81"/>
            <rFont val="Tahoma"/>
            <family val="2"/>
          </rPr>
          <t>AmTerm MUST be entered for all real debt or proforma will not calculate.
If no AmTerm is entered, debt will be treated as soft and will amortize over 30 years but will not be included in cash flow or Hard DCR calculation.</t>
        </r>
      </text>
    </comment>
    <comment ref="K242" authorId="1" shapeId="0" xr:uid="{00000000-0006-0000-0400-000007000000}">
      <text>
        <r>
          <rPr>
            <b/>
            <sz val="9"/>
            <color indexed="81"/>
            <rFont val="Tahoma"/>
            <family val="2"/>
          </rPr>
          <t>If no AmTerm is entered, a 15 year amortization will be assumed in the pro forma.</t>
        </r>
      </text>
    </comment>
    <comment ref="C284" authorId="1" shapeId="0" xr:uid="{00000000-0006-0000-0400-000008000000}">
      <text>
        <r>
          <rPr>
            <b/>
            <sz val="9"/>
            <color indexed="81"/>
            <rFont val="Tahoma"/>
            <family val="2"/>
          </rPr>
          <t xml:space="preserve">Amenity Fee items include things that tenants must pay a fee to use, such as garages, carports, pools, and recreation rooms. </t>
        </r>
      </text>
    </comment>
    <comment ref="C310" authorId="1" shapeId="0" xr:uid="{00000000-0006-0000-0400-000009000000}">
      <text>
        <r>
          <rPr>
            <b/>
            <sz val="9"/>
            <color indexed="81"/>
            <rFont val="Tahoma"/>
            <family val="2"/>
          </rPr>
          <t>Lower-tier (project) costs ONLY.</t>
        </r>
      </text>
    </comment>
    <comment ref="C311" authorId="1" shapeId="0" xr:uid="{00000000-0006-0000-0400-00000A000000}">
      <text>
        <r>
          <rPr>
            <b/>
            <sz val="9"/>
            <color indexed="81"/>
            <rFont val="Tahoma"/>
            <family val="2"/>
          </rPr>
          <t>Lower-tier (project) costs ONLY.</t>
        </r>
      </text>
    </comment>
    <comment ref="C322" authorId="1" shapeId="0" xr:uid="{00000000-0006-0000-0400-00000B000000}">
      <text>
        <r>
          <rPr>
            <b/>
            <sz val="9"/>
            <color indexed="81"/>
            <rFont val="Tahoma"/>
            <family val="2"/>
          </rPr>
          <t>Lower-tier (project) costs ONLY.</t>
        </r>
      </text>
    </comment>
    <comment ref="C323" authorId="1" shapeId="0" xr:uid="{00000000-0006-0000-0400-00000C000000}">
      <text>
        <r>
          <rPr>
            <b/>
            <sz val="9"/>
            <color indexed="81"/>
            <rFont val="Tahoma"/>
            <family val="2"/>
          </rPr>
          <t>Lower-tier (project) costs ONLY.</t>
        </r>
      </text>
    </comment>
    <comment ref="C365" authorId="1" shapeId="0" xr:uid="{00000000-0006-0000-0400-00000D000000}">
      <text>
        <r>
          <rPr>
            <b/>
            <sz val="9"/>
            <color indexed="81"/>
            <rFont val="Tahoma"/>
            <family val="2"/>
          </rPr>
          <t xml:space="preserve">Amenity Fee items include things that tenants must pay a fee to use, such as garages, carports, pools, and recreation rooms. </t>
        </r>
      </text>
    </comment>
    <comment ref="C391" authorId="1" shapeId="0" xr:uid="{00000000-0006-0000-0400-00000E000000}">
      <text>
        <r>
          <rPr>
            <b/>
            <sz val="9"/>
            <color indexed="81"/>
            <rFont val="Tahoma"/>
            <family val="2"/>
          </rPr>
          <t>Lower-tier (project) costs ONLY.</t>
        </r>
      </text>
    </comment>
    <comment ref="C392" authorId="1" shapeId="0" xr:uid="{00000000-0006-0000-0400-00000F000000}">
      <text>
        <r>
          <rPr>
            <b/>
            <sz val="9"/>
            <color indexed="81"/>
            <rFont val="Tahoma"/>
            <family val="2"/>
          </rPr>
          <t>Lower-tier (project) costs ONLY.</t>
        </r>
      </text>
    </comment>
    <comment ref="C403" authorId="1" shapeId="0" xr:uid="{00000000-0006-0000-0400-000010000000}">
      <text>
        <r>
          <rPr>
            <b/>
            <sz val="9"/>
            <color indexed="81"/>
            <rFont val="Tahoma"/>
            <family val="2"/>
          </rPr>
          <t>Lower-tier (project) costs ONLY.</t>
        </r>
      </text>
    </comment>
    <comment ref="C404" authorId="1" shapeId="0" xr:uid="{00000000-0006-0000-0400-000011000000}">
      <text>
        <r>
          <rPr>
            <b/>
            <sz val="9"/>
            <color indexed="81"/>
            <rFont val="Tahoma"/>
            <family val="2"/>
          </rPr>
          <t>Lower-tier (project) costs ONLY.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Boos, Carlie</author>
  </authors>
  <commentList>
    <comment ref="B35" authorId="0" shapeId="0" xr:uid="{00000000-0006-0000-0500-000001000000}">
      <text>
        <r>
          <rPr>
            <b/>
            <sz val="9"/>
            <color indexed="81"/>
            <rFont val="Tahoma"/>
            <family val="2"/>
          </rPr>
          <t>Cells populate based on prior HTC information from Project Details tab. Applicants may need to override these deductions if outside the compliance period.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15" authorId="0" shapeId="0" xr:uid="{00000000-0006-0000-0600-000001000000}">
      <text>
        <r>
          <rPr>
            <sz val="9"/>
            <color indexed="81"/>
            <rFont val="Tahoma"/>
            <family val="2"/>
          </rPr>
          <t>Hidden for projects unless subsidy layering review is requested.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Alecusan, Diane</author>
    <author>Boos, Carlie</author>
  </authors>
  <commentList>
    <comment ref="C69" authorId="0" shapeId="0" xr:uid="{00000000-0006-0000-0700-000001000000}">
      <text>
        <r>
          <rPr>
            <sz val="9"/>
            <color indexed="81"/>
            <rFont val="Tahoma"/>
            <family val="2"/>
          </rPr>
          <t>If the Managing Partner named above is also the parent, please repeat that information here.</t>
        </r>
      </text>
    </comment>
    <comment ref="C84" authorId="0" shapeId="0" xr:uid="{00000000-0006-0000-0700-000002000000}">
      <text>
        <r>
          <rPr>
            <sz val="9"/>
            <color indexed="81"/>
            <rFont val="Tahoma"/>
            <family val="2"/>
          </rPr>
          <t>If the member named above is also the parent, please repeat that information here.</t>
        </r>
      </text>
    </comment>
    <comment ref="C97" authorId="0" shapeId="0" xr:uid="{00000000-0006-0000-0700-000003000000}">
      <text>
        <r>
          <rPr>
            <sz val="9"/>
            <color indexed="81"/>
            <rFont val="Tahoma"/>
            <family val="2"/>
          </rPr>
          <t>If the member named above is also the parent, please repeat that information here.</t>
        </r>
      </text>
    </comment>
    <comment ref="C110" authorId="0" shapeId="0" xr:uid="{00000000-0006-0000-0700-000004000000}">
      <text>
        <r>
          <rPr>
            <sz val="9"/>
            <color indexed="81"/>
            <rFont val="Tahoma"/>
            <family val="2"/>
          </rPr>
          <t>If the member named above is also the parent, please repeat that information here.</t>
        </r>
      </text>
    </comment>
    <comment ref="C124" authorId="1" shapeId="0" xr:uid="{00000000-0006-0000-0700-000005000000}">
      <text>
        <r>
          <rPr>
            <b/>
            <sz val="9"/>
            <color indexed="81"/>
            <rFont val="Tahoma"/>
            <family val="2"/>
          </rPr>
          <t>A qualified non-profit organization, which is described in Section 501 (C)(3) or (4), is exempt from tax under Section 501(a). Its exempt purpose is to foster low-income housing, among other purposes.</t>
        </r>
      </text>
    </comment>
    <comment ref="C143" authorId="1" shapeId="0" xr:uid="{00000000-0006-0000-0700-000006000000}">
      <text>
        <r>
          <rPr>
            <b/>
            <sz val="9"/>
            <color indexed="81"/>
            <rFont val="Tahoma"/>
            <family val="2"/>
          </rPr>
          <t>A qualified non-profit organization, which is described in Section 501 (C)(3) or (4), is exempt from tax under Section 501(a). Its exempt purpose is to foster low-income housing, among other purposes.</t>
        </r>
      </text>
    </comment>
  </commentList>
</comments>
</file>

<file path=xl/sharedStrings.xml><?xml version="1.0" encoding="utf-8"?>
<sst xmlns="http://schemas.openxmlformats.org/spreadsheetml/2006/main" count="29924" uniqueCount="5927">
  <si>
    <t>Instructions</t>
  </si>
  <si>
    <t>Program Certification</t>
  </si>
  <si>
    <t>Multifamily Bonds</t>
  </si>
  <si>
    <t>Proposal Summary</t>
  </si>
  <si>
    <t>Cashflow Analysis</t>
  </si>
  <si>
    <t>Housing Credits</t>
  </si>
  <si>
    <t>Competitive Scoring</t>
  </si>
  <si>
    <t>About the Project</t>
  </si>
  <si>
    <t>Project Name</t>
  </si>
  <si>
    <t>City or Township</t>
  </si>
  <si>
    <t>Zip Code + 4</t>
  </si>
  <si>
    <t>County</t>
  </si>
  <si>
    <t>Latitude</t>
  </si>
  <si>
    <t>Longitude</t>
  </si>
  <si>
    <t>State Senate District</t>
  </si>
  <si>
    <t>State House District</t>
  </si>
  <si>
    <t>US Congressional District</t>
  </si>
  <si>
    <t>QCT?</t>
  </si>
  <si>
    <t xml:space="preserve">DDA? </t>
  </si>
  <si>
    <t>Opportunity</t>
  </si>
  <si>
    <t>Change</t>
  </si>
  <si>
    <t>Data</t>
  </si>
  <si>
    <t>Tract Name</t>
  </si>
  <si>
    <t>Census Tract 7701, Adams County, Ohio</t>
  </si>
  <si>
    <t>Census Tract 7702, Adams County, Ohio</t>
  </si>
  <si>
    <t>Census Tract 7703, Adams County, Ohio</t>
  </si>
  <si>
    <t>Census Tract 7704, Adams County, Ohio</t>
  </si>
  <si>
    <t>Census Tract 7705, Adams County, Ohio</t>
  </si>
  <si>
    <t>Census Tract 7706, Adams County, Ohio</t>
  </si>
  <si>
    <t>Census Tract 101, Allen County, Ohio</t>
  </si>
  <si>
    <t>Census Tract 102, Allen County, Ohio</t>
  </si>
  <si>
    <t>Census Tract 103, Allen County, Ohio</t>
  </si>
  <si>
    <t>Census Tract 106, Allen County, Ohio</t>
  </si>
  <si>
    <t>Census Tract 108, Allen County, Ohio</t>
  </si>
  <si>
    <t>Census Tract 109, Allen County, Ohio</t>
  </si>
  <si>
    <t>Census Tract 110, Allen County, Ohio</t>
  </si>
  <si>
    <t>Census Tract 112, Allen County, Ohio</t>
  </si>
  <si>
    <t>Census Tract 113, Allen County, Ohio</t>
  </si>
  <si>
    <t>Census Tract 114, Allen County, Ohio</t>
  </si>
  <si>
    <t>Census Tract 115, Allen County, Ohio</t>
  </si>
  <si>
    <t>Census Tract 116, Allen County, Ohio</t>
  </si>
  <si>
    <t>Census Tract 118, Allen County, Ohio</t>
  </si>
  <si>
    <t>Census Tract 119, Allen County, Ohio</t>
  </si>
  <si>
    <t>Census Tract 120, Allen County, Ohio</t>
  </si>
  <si>
    <t>Census Tract 121, Allen County, Ohio</t>
  </si>
  <si>
    <t>Census Tract 122, Allen County, Ohio</t>
  </si>
  <si>
    <t>Census Tract 123, Allen County, Ohio</t>
  </si>
  <si>
    <t>Census Tract 124, Allen County, Ohio</t>
  </si>
  <si>
    <t>Census Tract 126, Allen County, Ohio</t>
  </si>
  <si>
    <t>Census Tract 127, Allen County, Ohio</t>
  </si>
  <si>
    <t>Census Tract 129, Allen County, Ohio</t>
  </si>
  <si>
    <t>Census Tract 130, Allen County, Ohio</t>
  </si>
  <si>
    <t>Census Tract 131, Allen County, Ohio</t>
  </si>
  <si>
    <t>Census Tract 132, Allen County, Ohio</t>
  </si>
  <si>
    <t>Census Tract 133, Allen County, Ohio</t>
  </si>
  <si>
    <t>Census Tract 134, Allen County, Ohio</t>
  </si>
  <si>
    <t>Census Tract 136, Allen County, Ohio</t>
  </si>
  <si>
    <t>Census Tract 137, Allen County, Ohio</t>
  </si>
  <si>
    <t>Census Tract 138, Allen County, Ohio</t>
  </si>
  <si>
    <t>Census Tract 139, Allen County, Ohio</t>
  </si>
  <si>
    <t>Census Tract 140, Allen County, Ohio</t>
  </si>
  <si>
    <t>Census Tract 141, Allen County, Ohio</t>
  </si>
  <si>
    <t>Census Tract 9701, Ashland County, Ohio</t>
  </si>
  <si>
    <t>Census Tract 9702, Ashland County, Ohio</t>
  </si>
  <si>
    <t>Census Tract 9703, Ashland County, Ohio</t>
  </si>
  <si>
    <t>Census Tract 9704, Ashland County, Ohio</t>
  </si>
  <si>
    <t>Census Tract 9705, Ashland County, Ohio</t>
  </si>
  <si>
    <t>Census Tract 9706, Ashland County, Ohio</t>
  </si>
  <si>
    <t>Census Tract 9707, Ashland County, Ohio</t>
  </si>
  <si>
    <t>Census Tract 9708, Ashland County, Ohio</t>
  </si>
  <si>
    <t>Census Tract 9709, Ashland County, Ohio</t>
  </si>
  <si>
    <t>Census Tract 9710, Ashland County, Ohio</t>
  </si>
  <si>
    <t>Census Tract 9711, Ashland County, Ohio</t>
  </si>
  <si>
    <t>Census Tract 1.01, Ashtabula County, Ohio</t>
  </si>
  <si>
    <t>Census Tract 1.02, Ashtabula County, Ohio</t>
  </si>
  <si>
    <t>Census Tract 1.03, Ashtabula County, Ohio</t>
  </si>
  <si>
    <t>Census Tract 2, Ashtabula County, Ohio</t>
  </si>
  <si>
    <t>Census Tract 3, Ashtabula County, Ohio</t>
  </si>
  <si>
    <t>Census Tract 4, Ashtabula County, Ohio</t>
  </si>
  <si>
    <t>Census Tract 5, Ashtabula County, Ohio</t>
  </si>
  <si>
    <t>Census Tract 6.01, Ashtabula County, Ohio</t>
  </si>
  <si>
    <t>Census Tract 6.02, Ashtabula County, Ohio</t>
  </si>
  <si>
    <t>Census Tract 6.03, Ashtabula County, Ohio</t>
  </si>
  <si>
    <t>Census Tract 7.01, Ashtabula County, Ohio</t>
  </si>
  <si>
    <t>Census Tract 7.02, Ashtabula County, Ohio</t>
  </si>
  <si>
    <t>Census Tract 7.03, Ashtabula County, Ohio</t>
  </si>
  <si>
    <t>Census Tract 7.04, Ashtabula County, Ohio</t>
  </si>
  <si>
    <t>Census Tract 8.01, Ashtabula County, Ohio</t>
  </si>
  <si>
    <t>Census Tract 8.02, Ashtabula County, Ohio</t>
  </si>
  <si>
    <t>Census Tract 9, Ashtabula County, Ohio</t>
  </si>
  <si>
    <t>Census Tract 10.01, Ashtabula County, Ohio</t>
  </si>
  <si>
    <t>Census Tract 10.02, Ashtabula County, Ohio</t>
  </si>
  <si>
    <t>Census Tract 11.01, Ashtabula County, Ohio</t>
  </si>
  <si>
    <t>Census Tract 11.02, Ashtabula County, Ohio</t>
  </si>
  <si>
    <t>Census Tract 12, Ashtabula County, Ohio</t>
  </si>
  <si>
    <t>Census Tract 13.01, Ashtabula County, Ohio</t>
  </si>
  <si>
    <t>Census Tract 13.02, Ashtabula County, Ohio</t>
  </si>
  <si>
    <t>Census Tract 14, Ashtabula County, Ohio</t>
  </si>
  <si>
    <t>Census Tract 9726, Athens County, Ohio</t>
  </si>
  <si>
    <t>Census Tract 9727, Athens County, Ohio</t>
  </si>
  <si>
    <t>Census Tract 9728, Athens County, Ohio</t>
  </si>
  <si>
    <t>Census Tract 9729, Athens County, Ohio</t>
  </si>
  <si>
    <t>Census Tract 9730, Athens County, Ohio</t>
  </si>
  <si>
    <t>Census Tract 9731.01, Athens County, Ohio</t>
  </si>
  <si>
    <t>Census Tract 9732, Athens County, Ohio</t>
  </si>
  <si>
    <t>Census Tract 9733, Athens County, Ohio</t>
  </si>
  <si>
    <t>Census Tract 9734, Athens County, Ohio</t>
  </si>
  <si>
    <t>Census Tract 9735, Athens County, Ohio</t>
  </si>
  <si>
    <t>Census Tract 9736, Athens County, Ohio</t>
  </si>
  <si>
    <t>Census Tract 9737, Athens County, Ohio</t>
  </si>
  <si>
    <t>Census Tract 9738, Athens County, Ohio</t>
  </si>
  <si>
    <t>Census Tract 9739.01, Athens County, Ohio</t>
  </si>
  <si>
    <t>Census Tract 9739.02, Athens County, Ohio</t>
  </si>
  <si>
    <t>Census Tract 401, Auglaize County, Ohio</t>
  </si>
  <si>
    <t>Census Tract 402, Auglaize County, Ohio</t>
  </si>
  <si>
    <t>Census Tract 403, Auglaize County, Ohio</t>
  </si>
  <si>
    <t>Census Tract 404, Auglaize County, Ohio</t>
  </si>
  <si>
    <t>Census Tract 405, Auglaize County, Ohio</t>
  </si>
  <si>
    <t>Census Tract 406, Auglaize County, Ohio</t>
  </si>
  <si>
    <t>Census Tract 409, Auglaize County, Ohio</t>
  </si>
  <si>
    <t>Census Tract 410, Auglaize County, Ohio</t>
  </si>
  <si>
    <t>Census Tract 411, Auglaize County, Ohio</t>
  </si>
  <si>
    <t>Census Tract 412.01, Auglaize County, Ohio</t>
  </si>
  <si>
    <t>Census Tract 412.02, Auglaize County, Ohio</t>
  </si>
  <si>
    <t>Census Tract 101, Belmont County, Ohio</t>
  </si>
  <si>
    <t>Census Tract 102, Belmont County, Ohio</t>
  </si>
  <si>
    <t>Census Tract 103, Belmont County, Ohio</t>
  </si>
  <si>
    <t>Census Tract 106, Belmont County, Ohio</t>
  </si>
  <si>
    <t>Census Tract 107, Belmont County, Ohio</t>
  </si>
  <si>
    <t>Census Tract 108.02, Belmont County, Ohio</t>
  </si>
  <si>
    <t>Census Tract 109, Belmont County, Ohio</t>
  </si>
  <si>
    <t>Census Tract 110, Belmont County, Ohio</t>
  </si>
  <si>
    <t>Census Tract 112, Belmont County, Ohio</t>
  </si>
  <si>
    <t>Census Tract 113, Belmont County, Ohio</t>
  </si>
  <si>
    <t>Census Tract 114, Belmont County, Ohio</t>
  </si>
  <si>
    <t>Census Tract 115, Belmont County, Ohio</t>
  </si>
  <si>
    <t>Census Tract 116, Belmont County, Ohio</t>
  </si>
  <si>
    <t>Census Tract 117, Belmont County, Ohio</t>
  </si>
  <si>
    <t>Census Tract 119, Belmont County, Ohio</t>
  </si>
  <si>
    <t>Census Tract 120, Belmont County, Ohio</t>
  </si>
  <si>
    <t>Census Tract 121, Belmont County, Ohio</t>
  </si>
  <si>
    <t>Census Tract 122, Belmont County, Ohio</t>
  </si>
  <si>
    <t>Census Tract 123, Belmont County, Ohio</t>
  </si>
  <si>
    <t>Census Tract 124, Belmont County, Ohio</t>
  </si>
  <si>
    <t>Census Tract 9512.01, Brown County, Ohio</t>
  </si>
  <si>
    <t>Census Tract 9512.02, Brown County, Ohio</t>
  </si>
  <si>
    <t>Census Tract 9513, Brown County, Ohio</t>
  </si>
  <si>
    <t>Census Tract 9514, Brown County, Ohio</t>
  </si>
  <si>
    <t>Census Tract 9515, Brown County, Ohio</t>
  </si>
  <si>
    <t>Census Tract 9516, Brown County, Ohio</t>
  </si>
  <si>
    <t>Census Tract 9517, Brown County, Ohio</t>
  </si>
  <si>
    <t>Census Tract 9518, Brown County, Ohio</t>
  </si>
  <si>
    <t>Census Tract 9519, Brown County, Ohio</t>
  </si>
  <si>
    <t>Census Tract 1, Butler County, Ohio</t>
  </si>
  <si>
    <t>Census Tract 2, Butler County, Ohio</t>
  </si>
  <si>
    <t>Census Tract 3, Butler County, Ohio</t>
  </si>
  <si>
    <t>Census Tract 4, Butler County, Ohio</t>
  </si>
  <si>
    <t>Census Tract 5, Butler County, Ohio</t>
  </si>
  <si>
    <t>Census Tract 6, Butler County, Ohio</t>
  </si>
  <si>
    <t>Census Tract 10.01, Butler County, Ohio</t>
  </si>
  <si>
    <t>Census Tract 10.02, Butler County, Ohio</t>
  </si>
  <si>
    <t>Census Tract 11, Butler County, Ohio</t>
  </si>
  <si>
    <t>Census Tract 13, Butler County, Ohio</t>
  </si>
  <si>
    <t>Census Tract 101.01, Butler County, Ohio</t>
  </si>
  <si>
    <t>Census Tract 101.02, Butler County, Ohio</t>
  </si>
  <si>
    <t>Census Tract 101.03, Butler County, Ohio</t>
  </si>
  <si>
    <t>Census Tract 101.04, Butler County, Ohio</t>
  </si>
  <si>
    <t>Census Tract 102.01, Butler County, Ohio</t>
  </si>
  <si>
    <t>Census Tract 102.02, Butler County, Ohio</t>
  </si>
  <si>
    <t>Census Tract 102.03, Butler County, Ohio</t>
  </si>
  <si>
    <t>Census Tract 103.01, Butler County, Ohio</t>
  </si>
  <si>
    <t>Census Tract 103.02, Butler County, Ohio</t>
  </si>
  <si>
    <t>Census Tract 105, Butler County, Ohio</t>
  </si>
  <si>
    <t>Census Tract 106, Butler County, Ohio</t>
  </si>
  <si>
    <t>Census Tract 108, Butler County, Ohio</t>
  </si>
  <si>
    <t>Census Tract 109.01, Butler County, Ohio</t>
  </si>
  <si>
    <t>Census Tract 109.03, Butler County, Ohio</t>
  </si>
  <si>
    <t>Census Tract 109.04, Butler County, Ohio</t>
  </si>
  <si>
    <t>Census Tract 109.06, Butler County, Ohio</t>
  </si>
  <si>
    <t>Census Tract 109.07, Butler County, Ohio</t>
  </si>
  <si>
    <t>Census Tract 109.08, Butler County, Ohio</t>
  </si>
  <si>
    <t>Census Tract 109.09, Butler County, Ohio</t>
  </si>
  <si>
    <t>Census Tract 109.10, Butler County, Ohio</t>
  </si>
  <si>
    <t>Census Tract 109.11, Butler County, Ohio</t>
  </si>
  <si>
    <t>Census Tract 110.02, Butler County, Ohio</t>
  </si>
  <si>
    <t>Census Tract 110.03, Butler County, Ohio</t>
  </si>
  <si>
    <t>Census Tract 110.04, Butler County, Ohio</t>
  </si>
  <si>
    <t>Census Tract 111.09, Butler County, Ohio</t>
  </si>
  <si>
    <t>Census Tract 111.10, Butler County, Ohio</t>
  </si>
  <si>
    <t>Census Tract 111.11, Butler County, Ohio</t>
  </si>
  <si>
    <t>Census Tract 111.12, Butler County, Ohio</t>
  </si>
  <si>
    <t>Census Tract 111.16, Butler County, Ohio</t>
  </si>
  <si>
    <t>Census Tract 111.17, Butler County, Ohio</t>
  </si>
  <si>
    <t>Census Tract 111.18, Butler County, Ohio</t>
  </si>
  <si>
    <t>Census Tract 111.20, Butler County, Ohio</t>
  </si>
  <si>
    <t>Census Tract 111.21, Butler County, Ohio</t>
  </si>
  <si>
    <t>Census Tract 111.22, Butler County, Ohio</t>
  </si>
  <si>
    <t>Census Tract 111.23, Butler County, Ohio</t>
  </si>
  <si>
    <t>Census Tract 111.25, Butler County, Ohio</t>
  </si>
  <si>
    <t>Census Tract 111.26, Butler County, Ohio</t>
  </si>
  <si>
    <t>Census Tract 111.27, Butler County, Ohio</t>
  </si>
  <si>
    <t>Census Tract 111.28, Butler County, Ohio</t>
  </si>
  <si>
    <t>Census Tract 111.29, Butler County, Ohio</t>
  </si>
  <si>
    <t>Census Tract 111.30, Butler County, Ohio</t>
  </si>
  <si>
    <t>Census Tract 111.31, Butler County, Ohio</t>
  </si>
  <si>
    <t>Census Tract 112, Butler County, Ohio</t>
  </si>
  <si>
    <t>Census Tract 113, Butler County, Ohio</t>
  </si>
  <si>
    <t>Census Tract 118, Butler County, Ohio</t>
  </si>
  <si>
    <t>Census Tract 121, Butler County, Ohio</t>
  </si>
  <si>
    <t>Census Tract 122, Butler County, Ohio</t>
  </si>
  <si>
    <t>Census Tract 123, Butler County, Ohio</t>
  </si>
  <si>
    <t>Census Tract 124, Butler County, Ohio</t>
  </si>
  <si>
    <t>Census Tract 125, Butler County, Ohio</t>
  </si>
  <si>
    <t>Census Tract 126, Butler County, Ohio</t>
  </si>
  <si>
    <t>Census Tract 127, Butler County, Ohio</t>
  </si>
  <si>
    <t>Census Tract 130, Butler County, Ohio</t>
  </si>
  <si>
    <t>Census Tract 131, Butler County, Ohio</t>
  </si>
  <si>
    <t>Census Tract 132, Butler County, Ohio</t>
  </si>
  <si>
    <t>Census Tract 133, Butler County, Ohio</t>
  </si>
  <si>
    <t>Census Tract 134, Butler County, Ohio</t>
  </si>
  <si>
    <t>Census Tract 135, Butler County, Ohio</t>
  </si>
  <si>
    <t>Census Tract 136, Butler County, Ohio</t>
  </si>
  <si>
    <t>Census Tract 139, Butler County, Ohio</t>
  </si>
  <si>
    <t>Census Tract 140, Butler County, Ohio</t>
  </si>
  <si>
    <t>Census Tract 141, Butler County, Ohio</t>
  </si>
  <si>
    <t>Census Tract 143, Butler County, Ohio</t>
  </si>
  <si>
    <t>Census Tract 144, Butler County, Ohio</t>
  </si>
  <si>
    <t>Census Tract 146, Butler County, Ohio</t>
  </si>
  <si>
    <t>Census Tract 147, Butler County, Ohio</t>
  </si>
  <si>
    <t>Census Tract 148, Butler County, Ohio</t>
  </si>
  <si>
    <t>Census Tract 149, Butler County, Ohio</t>
  </si>
  <si>
    <t>Census Tract 150, Butler County, Ohio</t>
  </si>
  <si>
    <t>Census Tract 151, Butler County, Ohio</t>
  </si>
  <si>
    <t>Census Tract 7201, Carroll County, Ohio</t>
  </si>
  <si>
    <t>Census Tract 7202, Carroll County, Ohio</t>
  </si>
  <si>
    <t>Census Tract 7203, Carroll County, Ohio</t>
  </si>
  <si>
    <t>Census Tract 7204, Carroll County, Ohio</t>
  </si>
  <si>
    <t>Census Tract 7205, Carroll County, Ohio</t>
  </si>
  <si>
    <t>Census Tract 7206, Carroll County, Ohio</t>
  </si>
  <si>
    <t>Census Tract 7207, Carroll County, Ohio</t>
  </si>
  <si>
    <t>Census Tract 101, Champaign County, Ohio</t>
  </si>
  <si>
    <t>Census Tract 102, Champaign County, Ohio</t>
  </si>
  <si>
    <t>Census Tract 104, Champaign County, Ohio</t>
  </si>
  <si>
    <t>Census Tract 105, Champaign County, Ohio</t>
  </si>
  <si>
    <t>Census Tract 106, Champaign County, Ohio</t>
  </si>
  <si>
    <t>Census Tract 110.01, Champaign County, Ohio</t>
  </si>
  <si>
    <t>Census Tract 115.01, Champaign County, Ohio</t>
  </si>
  <si>
    <t>Census Tract 115.04, Champaign County, Ohio</t>
  </si>
  <si>
    <t>Census Tract 115.05, Champaign County, Ohio</t>
  </si>
  <si>
    <t>Census Tract 115.06, Champaign County, Ohio</t>
  </si>
  <si>
    <t>Census Tract 2, Clark County, Ohio</t>
  </si>
  <si>
    <t>Census Tract 3, Clark County, Ohio</t>
  </si>
  <si>
    <t>Census Tract 4, Clark County, Ohio</t>
  </si>
  <si>
    <t>Census Tract 5, Clark County, Ohio</t>
  </si>
  <si>
    <t>Census Tract 6, Clark County, Ohio</t>
  </si>
  <si>
    <t>Census Tract 7, Clark County, Ohio</t>
  </si>
  <si>
    <t>Census Tract 9.01, Clark County, Ohio</t>
  </si>
  <si>
    <t>Census Tract 9.02, Clark County, Ohio</t>
  </si>
  <si>
    <t>Census Tract 10, Clark County, Ohio</t>
  </si>
  <si>
    <t>Census Tract 11.01, Clark County, Ohio</t>
  </si>
  <si>
    <t>Census Tract 11.02, Clark County, Ohio</t>
  </si>
  <si>
    <t>Census Tract 12, Clark County, Ohio</t>
  </si>
  <si>
    <t>Census Tract 13, Clark County, Ohio</t>
  </si>
  <si>
    <t>Census Tract 14, Clark County, Ohio</t>
  </si>
  <si>
    <t>Census Tract 15, Clark County, Ohio</t>
  </si>
  <si>
    <t>Census Tract 16, Clark County, Ohio</t>
  </si>
  <si>
    <t>Census Tract 17, Clark County, Ohio</t>
  </si>
  <si>
    <t>Census Tract 19, Clark County, Ohio</t>
  </si>
  <si>
    <t>Census Tract 20, Clark County, Ohio</t>
  </si>
  <si>
    <t>Census Tract 21, Clark County, Ohio</t>
  </si>
  <si>
    <t>Census Tract 22, Clark County, Ohio</t>
  </si>
  <si>
    <t>Census Tract 23.01, Clark County, Ohio</t>
  </si>
  <si>
    <t>Census Tract 24.03, Clark County, Ohio</t>
  </si>
  <si>
    <t>Census Tract 24.04, Clark County, Ohio</t>
  </si>
  <si>
    <t>Census Tract 25.01, Clark County, Ohio</t>
  </si>
  <si>
    <t>Census Tract 25.02, Clark County, Ohio</t>
  </si>
  <si>
    <t>Census Tract 26.01, Clark County, Ohio</t>
  </si>
  <si>
    <t>Census Tract 26.02, Clark County, Ohio</t>
  </si>
  <si>
    <t>Census Tract 26.05, Clark County, Ohio</t>
  </si>
  <si>
    <t>Census Tract 26.06, Clark County, Ohio</t>
  </si>
  <si>
    <t>Census Tract 27.01, Clark County, Ohio</t>
  </si>
  <si>
    <t>Census Tract 27.02, Clark County, Ohio</t>
  </si>
  <si>
    <t>Census Tract 28, Clark County, Ohio</t>
  </si>
  <si>
    <t>Census Tract 29.01, Clark County, Ohio</t>
  </si>
  <si>
    <t>Census Tract 29.02, Clark County, Ohio</t>
  </si>
  <si>
    <t>Census Tract 30.01, Clark County, Ohio</t>
  </si>
  <si>
    <t>Census Tract 30.02, Clark County, Ohio</t>
  </si>
  <si>
    <t>Census Tract 31.01, Clark County, Ohio</t>
  </si>
  <si>
    <t>Census Tract 31.02, Clark County, Ohio</t>
  </si>
  <si>
    <t>Census Tract 32, Clark County, Ohio</t>
  </si>
  <si>
    <t>Census Tract 33.01, Clark County, Ohio</t>
  </si>
  <si>
    <t>Census Tract 33.02, Clark County, Ohio</t>
  </si>
  <si>
    <t>Census Tract 34, Clark County, Ohio</t>
  </si>
  <si>
    <t>Census Tract 37, Clark County, Ohio</t>
  </si>
  <si>
    <t>Census Tract 401.01, Clermont County, Ohio</t>
  </si>
  <si>
    <t>Census Tract 401.02, Clermont County, Ohio</t>
  </si>
  <si>
    <t>Census Tract 402.02, Clermont County, Ohio</t>
  </si>
  <si>
    <t>Census Tract 402.03, Clermont County, Ohio</t>
  </si>
  <si>
    <t>Census Tract 402.04, Clermont County, Ohio</t>
  </si>
  <si>
    <t>Census Tract 403.01, Clermont County, Ohio</t>
  </si>
  <si>
    <t>Census Tract 403.02, Clermont County, Ohio</t>
  </si>
  <si>
    <t>Census Tract 403.03, Clermont County, Ohio</t>
  </si>
  <si>
    <t>Census Tract 404.01, Clermont County, Ohio</t>
  </si>
  <si>
    <t>Census Tract 404.03, Clermont County, Ohio</t>
  </si>
  <si>
    <t>Census Tract 404.04, Clermont County, Ohio</t>
  </si>
  <si>
    <t>Census Tract 404.05, Clermont County, Ohio</t>
  </si>
  <si>
    <t>Census Tract 405, Clermont County, Ohio</t>
  </si>
  <si>
    <t>Census Tract 406, Clermont County, Ohio</t>
  </si>
  <si>
    <t>Census Tract 407.01, Clermont County, Ohio</t>
  </si>
  <si>
    <t>Census Tract 407.02, Clermont County, Ohio</t>
  </si>
  <si>
    <t>Census Tract 408, Clermont County, Ohio</t>
  </si>
  <si>
    <t>Census Tract 409, Clermont County, Ohio</t>
  </si>
  <si>
    <t>Census Tract 410, Clermont County, Ohio</t>
  </si>
  <si>
    <t>Census Tract 411.01, Clermont County, Ohio</t>
  </si>
  <si>
    <t>Census Tract 411.02, Clermont County, Ohio</t>
  </si>
  <si>
    <t>Census Tract 411.03, Clermont County, Ohio</t>
  </si>
  <si>
    <t>Census Tract 412, Clermont County, Ohio</t>
  </si>
  <si>
    <t>Census Tract 413.03, Clermont County, Ohio</t>
  </si>
  <si>
    <t>Census Tract 413.04, Clermont County, Ohio</t>
  </si>
  <si>
    <t>Census Tract 413.05, Clermont County, Ohio</t>
  </si>
  <si>
    <t>Census Tract 413.06, Clermont County, Ohio</t>
  </si>
  <si>
    <t>Census Tract 413.07, Clermont County, Ohio</t>
  </si>
  <si>
    <t>Census Tract 414.03, Clermont County, Ohio</t>
  </si>
  <si>
    <t>Census Tract 414.04, Clermont County, Ohio</t>
  </si>
  <si>
    <t>Census Tract 414.05, Clermont County, Ohio</t>
  </si>
  <si>
    <t>Census Tract 414.06, Clermont County, Ohio</t>
  </si>
  <si>
    <t>Census Tract 415.01, Clermont County, Ohio</t>
  </si>
  <si>
    <t>Census Tract 415.02, Clermont County, Ohio</t>
  </si>
  <si>
    <t>Census Tract 416, Clermont County, Ohio</t>
  </si>
  <si>
    <t>Census Tract 417.01, Clermont County, Ohio</t>
  </si>
  <si>
    <t>Census Tract 417.02, Clermont County, Ohio</t>
  </si>
  <si>
    <t>Census Tract 418, Clermont County, Ohio</t>
  </si>
  <si>
    <t>Census Tract 419, Clermont County, Ohio</t>
  </si>
  <si>
    <t>Census Tract 420, Clermont County, Ohio</t>
  </si>
  <si>
    <t>Census Tract 9643, Clinton County, Ohio</t>
  </si>
  <si>
    <t>Census Tract 9644, Clinton County, Ohio</t>
  </si>
  <si>
    <t>Census Tract 9645, Clinton County, Ohio</t>
  </si>
  <si>
    <t>Census Tract 9646, Clinton County, Ohio</t>
  </si>
  <si>
    <t>Census Tract 9647, Clinton County, Ohio</t>
  </si>
  <si>
    <t>Census Tract 9648, Clinton County, Ohio</t>
  </si>
  <si>
    <t>Census Tract 9649, Clinton County, Ohio</t>
  </si>
  <si>
    <t>Census Tract 9650, Clinton County, Ohio</t>
  </si>
  <si>
    <t>Census Tract 9651, Clinton County, Ohio</t>
  </si>
  <si>
    <t>Census Tract 9501, Columbiana County, Ohio</t>
  </si>
  <si>
    <t>Census Tract 9502, Columbiana County, Ohio</t>
  </si>
  <si>
    <t>Census Tract 9503, Columbiana County, Ohio</t>
  </si>
  <si>
    <t>Census Tract 9504, Columbiana County, Ohio</t>
  </si>
  <si>
    <t>Census Tract 9505, Columbiana County, Ohio</t>
  </si>
  <si>
    <t>Census Tract 9506, Columbiana County, Ohio</t>
  </si>
  <si>
    <t>Census Tract 9507, Columbiana County, Ohio</t>
  </si>
  <si>
    <t>Census Tract 9508, Columbiana County, Ohio</t>
  </si>
  <si>
    <t>Census Tract 9509, Columbiana County, Ohio</t>
  </si>
  <si>
    <t>Census Tract 9510, Columbiana County, Ohio</t>
  </si>
  <si>
    <t>Census Tract 9511, Columbiana County, Ohio</t>
  </si>
  <si>
    <t>Census Tract 9512, Columbiana County, Ohio</t>
  </si>
  <si>
    <t>Census Tract 9513, Columbiana County, Ohio</t>
  </si>
  <si>
    <t>Census Tract 9514, Columbiana County, Ohio</t>
  </si>
  <si>
    <t>Census Tract 9515, Columbiana County, Ohio</t>
  </si>
  <si>
    <t>Census Tract 9516, Columbiana County, Ohio</t>
  </si>
  <si>
    <t>Census Tract 9517, Columbiana County, Ohio</t>
  </si>
  <si>
    <t>Census Tract 9518, Columbiana County, Ohio</t>
  </si>
  <si>
    <t>Census Tract 9519, Columbiana County, Ohio</t>
  </si>
  <si>
    <t>Census Tract 9520, Columbiana County, Ohio</t>
  </si>
  <si>
    <t>Census Tract 9521, Columbiana County, Ohio</t>
  </si>
  <si>
    <t>Census Tract 9522, Columbiana County, Ohio</t>
  </si>
  <si>
    <t>Census Tract 9523, Columbiana County, Ohio</t>
  </si>
  <si>
    <t>Census Tract 9524, Columbiana County, Ohio</t>
  </si>
  <si>
    <t>Census Tract 9609, Coshocton County, Ohio</t>
  </si>
  <si>
    <t>Census Tract 9610, Coshocton County, Ohio</t>
  </si>
  <si>
    <t>Census Tract 9611, Coshocton County, Ohio</t>
  </si>
  <si>
    <t>Census Tract 9612, Coshocton County, Ohio</t>
  </si>
  <si>
    <t>Census Tract 9613, Coshocton County, Ohio</t>
  </si>
  <si>
    <t>Census Tract 9614, Coshocton County, Ohio</t>
  </si>
  <si>
    <t>Census Tract 9615, Coshocton County, Ohio</t>
  </si>
  <si>
    <t>Census Tract 9616, Coshocton County, Ohio</t>
  </si>
  <si>
    <t>Census Tract 9617, Coshocton County, Ohio</t>
  </si>
  <si>
    <t>Census Tract 9618, Coshocton County, Ohio</t>
  </si>
  <si>
    <t>Census Tract 9741, Crawford County, Ohio</t>
  </si>
  <si>
    <t>Census Tract 9742, Crawford County, Ohio</t>
  </si>
  <si>
    <t>Census Tract 9743, Crawford County, Ohio</t>
  </si>
  <si>
    <t>Census Tract 9744, Crawford County, Ohio</t>
  </si>
  <si>
    <t>Census Tract 9745, Crawford County, Ohio</t>
  </si>
  <si>
    <t>Census Tract 9746, Crawford County, Ohio</t>
  </si>
  <si>
    <t>Census Tract 9747, Crawford County, Ohio</t>
  </si>
  <si>
    <t>Census Tract 9748, Crawford County, Ohio</t>
  </si>
  <si>
    <t>Census Tract 9749, Crawford County, Ohio</t>
  </si>
  <si>
    <t>Census Tract 9750, Crawford County, Ohio</t>
  </si>
  <si>
    <t>Census Tract 9751, Crawford County, Ohio</t>
  </si>
  <si>
    <t>Census Tract 9752, Crawford County, Ohio</t>
  </si>
  <si>
    <t>Census Tract 9753, Crawford County, Ohio</t>
  </si>
  <si>
    <t>Census Tract 1011.01, Cuyahoga County, Ohio</t>
  </si>
  <si>
    <t>Census Tract 1011.02, Cuyahoga County, Ohio</t>
  </si>
  <si>
    <t>Census Tract 1012, Cuyahoga County, Ohio</t>
  </si>
  <si>
    <t>Census Tract 1013, Cuyahoga County, Ohio</t>
  </si>
  <si>
    <t>Census Tract 1014, Cuyahoga County, Ohio</t>
  </si>
  <si>
    <t>Census Tract 1015.01, Cuyahoga County, Ohio</t>
  </si>
  <si>
    <t>Census Tract 1016.03, Cuyahoga County, Ohio</t>
  </si>
  <si>
    <t>Census Tract 1017, Cuyahoga County, Ohio</t>
  </si>
  <si>
    <t>Census Tract 1018, Cuyahoga County, Ohio</t>
  </si>
  <si>
    <t>Census Tract 1019.01, Cuyahoga County, Ohio</t>
  </si>
  <si>
    <t>Census Tract 1021.01, Cuyahoga County, Ohio</t>
  </si>
  <si>
    <t>Census Tract 1021.02, Cuyahoga County, Ohio</t>
  </si>
  <si>
    <t>Census Tract 1022, Cuyahoga County, Ohio</t>
  </si>
  <si>
    <t>Census Tract 1023, Cuyahoga County, Ohio</t>
  </si>
  <si>
    <t>Census Tract 1024.01, Cuyahoga County, Ohio</t>
  </si>
  <si>
    <t>Census Tract 1024.02, Cuyahoga County, Ohio</t>
  </si>
  <si>
    <t>Census Tract 1027, Cuyahoga County, Ohio</t>
  </si>
  <si>
    <t>Census Tract 1028, Cuyahoga County, Ohio</t>
  </si>
  <si>
    <t>Census Tract 1029, Cuyahoga County, Ohio</t>
  </si>
  <si>
    <t>Census Tract 1031, Cuyahoga County, Ohio</t>
  </si>
  <si>
    <t>Census Tract 1033, Cuyahoga County, Ohio</t>
  </si>
  <si>
    <t>Census Tract 1034, Cuyahoga County, Ohio</t>
  </si>
  <si>
    <t>Census Tract 1035, Cuyahoga County, Ohio</t>
  </si>
  <si>
    <t>Census Tract 1036.02, Cuyahoga County, Ohio</t>
  </si>
  <si>
    <t>Census Tract 1038, Cuyahoga County, Ohio</t>
  </si>
  <si>
    <t>Census Tract 1039, Cuyahoga County, Ohio</t>
  </si>
  <si>
    <t>Census Tract 1041, Cuyahoga County, Ohio</t>
  </si>
  <si>
    <t>Census Tract 1042, Cuyahoga County, Ohio</t>
  </si>
  <si>
    <t>Census Tract 1043, Cuyahoga County, Ohio</t>
  </si>
  <si>
    <t>Census Tract 1044, Cuyahoga County, Ohio</t>
  </si>
  <si>
    <t>Census Tract 1046, Cuyahoga County, Ohio</t>
  </si>
  <si>
    <t>Census Tract 1048, Cuyahoga County, Ohio</t>
  </si>
  <si>
    <t>Census Tract 1049, Cuyahoga County, Ohio</t>
  </si>
  <si>
    <t>Census Tract 1051, Cuyahoga County, Ohio</t>
  </si>
  <si>
    <t>Census Tract 1053, Cuyahoga County, Ohio</t>
  </si>
  <si>
    <t>Census Tract 1054, Cuyahoga County, Ohio</t>
  </si>
  <si>
    <t>Census Tract 1055, Cuyahoga County, Ohio</t>
  </si>
  <si>
    <t>Census Tract 1056.02, Cuyahoga County, Ohio</t>
  </si>
  <si>
    <t>Census Tract 1057, Cuyahoga County, Ohio</t>
  </si>
  <si>
    <t>Census Tract 1059, Cuyahoga County, Ohio</t>
  </si>
  <si>
    <t>Census Tract 1061, Cuyahoga County, Ohio</t>
  </si>
  <si>
    <t>Census Tract 1062, Cuyahoga County, Ohio</t>
  </si>
  <si>
    <t>Census Tract 1063, Cuyahoga County, Ohio</t>
  </si>
  <si>
    <t>Census Tract 1064, Cuyahoga County, Ohio</t>
  </si>
  <si>
    <t>Census Tract 1065, Cuyahoga County, Ohio</t>
  </si>
  <si>
    <t>Census Tract 1066, Cuyahoga County, Ohio</t>
  </si>
  <si>
    <t>Census Tract 1068, Cuyahoga County, Ohio</t>
  </si>
  <si>
    <t>Census Tract 1069, Cuyahoga County, Ohio</t>
  </si>
  <si>
    <t>Census Tract 1070, Cuyahoga County, Ohio</t>
  </si>
  <si>
    <t>Census Tract 1071.01, Cuyahoga County, Ohio</t>
  </si>
  <si>
    <t>Census Tract 1077.01, Cuyahoga County, Ohio</t>
  </si>
  <si>
    <t>Census Tract 1078.02, Cuyahoga County, Ohio</t>
  </si>
  <si>
    <t>Census Tract 1082.01, Cuyahoga County, Ohio</t>
  </si>
  <si>
    <t>Census Tract 1083.01, Cuyahoga County, Ohio</t>
  </si>
  <si>
    <t>Census Tract 1084, Cuyahoga County, Ohio</t>
  </si>
  <si>
    <t>Census Tract 1087.01, Cuyahoga County, Ohio</t>
  </si>
  <si>
    <t>Census Tract 1093.01, Cuyahoga County, Ohio</t>
  </si>
  <si>
    <t>Census Tract 1097.01, Cuyahoga County, Ohio</t>
  </si>
  <si>
    <t>Census Tract 1098.01, Cuyahoga County, Ohio</t>
  </si>
  <si>
    <t>Census Tract 1105.01, Cuyahoga County, Ohio</t>
  </si>
  <si>
    <t>Census Tract 1108.01, Cuyahoga County, Ohio</t>
  </si>
  <si>
    <t>Census Tract 1109.01, Cuyahoga County, Ohio</t>
  </si>
  <si>
    <t>Census Tract 1112.02, Cuyahoga County, Ohio</t>
  </si>
  <si>
    <t>Census Tract 1114.01, Cuyahoga County, Ohio</t>
  </si>
  <si>
    <t>Census Tract 1115, Cuyahoga County, Ohio</t>
  </si>
  <si>
    <t>Census Tract 1116, Cuyahoga County, Ohio</t>
  </si>
  <si>
    <t>Census Tract 1117, Cuyahoga County, Ohio</t>
  </si>
  <si>
    <t>Census Tract 1118, Cuyahoga County, Ohio</t>
  </si>
  <si>
    <t>Census Tract 1119.02, Cuyahoga County, Ohio</t>
  </si>
  <si>
    <t>Census Tract 1121, Cuyahoga County, Ohio</t>
  </si>
  <si>
    <t>Census Tract 1122, Cuyahoga County, Ohio</t>
  </si>
  <si>
    <t>Census Tract 1123.01, Cuyahoga County, Ohio</t>
  </si>
  <si>
    <t>Census Tract 1124, Cuyahoga County, Ohio</t>
  </si>
  <si>
    <t>Census Tract 1125, Cuyahoga County, Ohio</t>
  </si>
  <si>
    <t>Census Tract 1126, Cuyahoga County, Ohio</t>
  </si>
  <si>
    <t>Census Tract 1128, Cuyahoga County, Ohio</t>
  </si>
  <si>
    <t>Census Tract 1131.01, Cuyahoga County, Ohio</t>
  </si>
  <si>
    <t>Census Tract 1135, Cuyahoga County, Ohio</t>
  </si>
  <si>
    <t>Census Tract 1136, Cuyahoga County, Ohio</t>
  </si>
  <si>
    <t>Census Tract 1138.01, Cuyahoga County, Ohio</t>
  </si>
  <si>
    <t>Census Tract 1141, Cuyahoga County, Ohio</t>
  </si>
  <si>
    <t>Census Tract 1143, Cuyahoga County, Ohio</t>
  </si>
  <si>
    <t>Census Tract 1145.01, Cuyahoga County, Ohio</t>
  </si>
  <si>
    <t>Census Tract 1146, Cuyahoga County, Ohio</t>
  </si>
  <si>
    <t>Census Tract 1147, Cuyahoga County, Ohio</t>
  </si>
  <si>
    <t>Census Tract 1149, Cuyahoga County, Ohio</t>
  </si>
  <si>
    <t>Census Tract 1151, Cuyahoga County, Ohio</t>
  </si>
  <si>
    <t>Census Tract 1152, Cuyahoga County, Ohio</t>
  </si>
  <si>
    <t>Census Tract 1153, Cuyahoga County, Ohio</t>
  </si>
  <si>
    <t>Census Tract 1154, Cuyahoga County, Ohio</t>
  </si>
  <si>
    <t>Census Tract 1157, Cuyahoga County, Ohio</t>
  </si>
  <si>
    <t>Census Tract 1158, Cuyahoga County, Ohio</t>
  </si>
  <si>
    <t>Census Tract 1159, Cuyahoga County, Ohio</t>
  </si>
  <si>
    <t>Census Tract 1161, Cuyahoga County, Ohio</t>
  </si>
  <si>
    <t>Census Tract 1162, Cuyahoga County, Ohio</t>
  </si>
  <si>
    <t>Census Tract 1163, Cuyahoga County, Ohio</t>
  </si>
  <si>
    <t>Census Tract 1164, Cuyahoga County, Ohio</t>
  </si>
  <si>
    <t>Census Tract 1165, Cuyahoga County, Ohio</t>
  </si>
  <si>
    <t>Census Tract 1166, Cuyahoga County, Ohio</t>
  </si>
  <si>
    <t>Census Tract 1167, Cuyahoga County, Ohio</t>
  </si>
  <si>
    <t>Census Tract 1168, Cuyahoga County, Ohio</t>
  </si>
  <si>
    <t>Census Tract 1169, Cuyahoga County, Ohio</t>
  </si>
  <si>
    <t>Census Tract 1171.01, Cuyahoga County, Ohio</t>
  </si>
  <si>
    <t>Census Tract 1171.02, Cuyahoga County, Ohio</t>
  </si>
  <si>
    <t>Census Tract 1172.01, Cuyahoga County, Ohio</t>
  </si>
  <si>
    <t>Census Tract 1172.02, Cuyahoga County, Ohio</t>
  </si>
  <si>
    <t>Census Tract 1173, Cuyahoga County, Ohio</t>
  </si>
  <si>
    <t>Census Tract 1174, Cuyahoga County, Ohio</t>
  </si>
  <si>
    <t>Census Tract 1175, Cuyahoga County, Ohio</t>
  </si>
  <si>
    <t>Census Tract 1176, Cuyahoga County, Ohio</t>
  </si>
  <si>
    <t>Census Tract 1177, Cuyahoga County, Ohio</t>
  </si>
  <si>
    <t>Census Tract 1178, Cuyahoga County, Ohio</t>
  </si>
  <si>
    <t>Census Tract 1179, Cuyahoga County, Ohio</t>
  </si>
  <si>
    <t>Census Tract 1181.01, Cuyahoga County, Ohio</t>
  </si>
  <si>
    <t>Census Tract 1182, Cuyahoga County, Ohio</t>
  </si>
  <si>
    <t>Census Tract 1183.01, Cuyahoga County, Ohio</t>
  </si>
  <si>
    <t>Census Tract 1184, Cuyahoga County, Ohio</t>
  </si>
  <si>
    <t>Census Tract 1185, Cuyahoga County, Ohio</t>
  </si>
  <si>
    <t>Census Tract 1186.02, Cuyahoga County, Ohio</t>
  </si>
  <si>
    <t>Census Tract 1187, Cuyahoga County, Ohio</t>
  </si>
  <si>
    <t>Census Tract 1188, Cuyahoga County, Ohio</t>
  </si>
  <si>
    <t>Census Tract 1189, Cuyahoga County, Ohio</t>
  </si>
  <si>
    <t>Census Tract 1191, Cuyahoga County, Ohio</t>
  </si>
  <si>
    <t>Census Tract 1192.02, Cuyahoga County, Ohio</t>
  </si>
  <si>
    <t>Census Tract 1193, Cuyahoga County, Ohio</t>
  </si>
  <si>
    <t>Census Tract 1194.01, Cuyahoga County, Ohio</t>
  </si>
  <si>
    <t>Census Tract 1194.02, Cuyahoga County, Ohio</t>
  </si>
  <si>
    <t>Census Tract 1195.01, Cuyahoga County, Ohio</t>
  </si>
  <si>
    <t>Census Tract 1195.02, Cuyahoga County, Ohio</t>
  </si>
  <si>
    <t>Census Tract 1196, Cuyahoga County, Ohio</t>
  </si>
  <si>
    <t>Census Tract 1197.01, Cuyahoga County, Ohio</t>
  </si>
  <si>
    <t>Census Tract 1197.02, Cuyahoga County, Ohio</t>
  </si>
  <si>
    <t>Census Tract 1198, Cuyahoga County, Ohio</t>
  </si>
  <si>
    <t>Census Tract 1199, Cuyahoga County, Ohio</t>
  </si>
  <si>
    <t>Census Tract 1202, Cuyahoga County, Ohio</t>
  </si>
  <si>
    <t>Census Tract 1204, Cuyahoga County, Ohio</t>
  </si>
  <si>
    <t>Census Tract 1205, Cuyahoga County, Ohio</t>
  </si>
  <si>
    <t>Census Tract 1206, Cuyahoga County, Ohio</t>
  </si>
  <si>
    <t>Census Tract 1207.01, Cuyahoga County, Ohio</t>
  </si>
  <si>
    <t>Census Tract 1207.02, Cuyahoga County, Ohio</t>
  </si>
  <si>
    <t>Census Tract 1208.01, Cuyahoga County, Ohio</t>
  </si>
  <si>
    <t>Census Tract 1208.02, Cuyahoga County, Ohio</t>
  </si>
  <si>
    <t>Census Tract 1211, Cuyahoga County, Ohio</t>
  </si>
  <si>
    <t>Census Tract 1212, Cuyahoga County, Ohio</t>
  </si>
  <si>
    <t>Census Tract 1213, Cuyahoga County, Ohio</t>
  </si>
  <si>
    <t>Census Tract 1214.01, Cuyahoga County, Ohio</t>
  </si>
  <si>
    <t>Census Tract 1214.03, Cuyahoga County, Ohio</t>
  </si>
  <si>
    <t>Census Tract 1215, Cuyahoga County, Ohio</t>
  </si>
  <si>
    <t>Census Tract 1217, Cuyahoga County, Ohio</t>
  </si>
  <si>
    <t>Census Tract 1218, Cuyahoga County, Ohio</t>
  </si>
  <si>
    <t>Census Tract 1219, Cuyahoga County, Ohio</t>
  </si>
  <si>
    <t>Census Tract 1221, Cuyahoga County, Ohio</t>
  </si>
  <si>
    <t>Census Tract 1222, Cuyahoga County, Ohio</t>
  </si>
  <si>
    <t>Census Tract 1223, Cuyahoga County, Ohio</t>
  </si>
  <si>
    <t>Census Tract 1231, Cuyahoga County, Ohio</t>
  </si>
  <si>
    <t>Census Tract 1232, Cuyahoga County, Ohio</t>
  </si>
  <si>
    <t>Census Tract 1234, Cuyahoga County, Ohio</t>
  </si>
  <si>
    <t>Census Tract 1235.01, Cuyahoga County, Ohio</t>
  </si>
  <si>
    <t>Census Tract 1235.02, Cuyahoga County, Ohio</t>
  </si>
  <si>
    <t>Census Tract 1236.01, Cuyahoga County, Ohio</t>
  </si>
  <si>
    <t>Census Tract 1236.02, Cuyahoga County, Ohio</t>
  </si>
  <si>
    <t>Census Tract 1236.03, Cuyahoga County, Ohio</t>
  </si>
  <si>
    <t>Census Tract 1237, Cuyahoga County, Ohio</t>
  </si>
  <si>
    <t>Census Tract 1238, Cuyahoga County, Ohio</t>
  </si>
  <si>
    <t>Census Tract 1239, Cuyahoga County, Ohio</t>
  </si>
  <si>
    <t>Census Tract 1241, Cuyahoga County, Ohio</t>
  </si>
  <si>
    <t>Census Tract 1242.01, Cuyahoga County, Ohio</t>
  </si>
  <si>
    <t>Census Tract 1242.02, Cuyahoga County, Ohio</t>
  </si>
  <si>
    <t>Census Tract 1243, Cuyahoga County, Ohio</t>
  </si>
  <si>
    <t>Census Tract 1245, Cuyahoga County, Ohio</t>
  </si>
  <si>
    <t>Census Tract 1246, Cuyahoga County, Ohio</t>
  </si>
  <si>
    <t>Census Tract 1261, Cuyahoga County, Ohio</t>
  </si>
  <si>
    <t>Census Tract 1275.01, Cuyahoga County, Ohio</t>
  </si>
  <si>
    <t>Census Tract 1301.03, Cuyahoga County, Ohio</t>
  </si>
  <si>
    <t>Census Tract 1301.04, Cuyahoga County, Ohio</t>
  </si>
  <si>
    <t>Census Tract 1301.05, Cuyahoga County, Ohio</t>
  </si>
  <si>
    <t>Census Tract 1301.06, Cuyahoga County, Ohio</t>
  </si>
  <si>
    <t>Census Tract 1311.02, Cuyahoga County, Ohio</t>
  </si>
  <si>
    <t>Census Tract 1311.03, Cuyahoga County, Ohio</t>
  </si>
  <si>
    <t>Census Tract 1311.04, Cuyahoga County, Ohio</t>
  </si>
  <si>
    <t>Census Tract 1321, Cuyahoga County, Ohio</t>
  </si>
  <si>
    <t>Census Tract 1322, Cuyahoga County, Ohio</t>
  </si>
  <si>
    <t>Census Tract 1323.01, Cuyahoga County, Ohio</t>
  </si>
  <si>
    <t>Census Tract 1323.02, Cuyahoga County, Ohio</t>
  </si>
  <si>
    <t>Census Tract 1331.03, Cuyahoga County, Ohio</t>
  </si>
  <si>
    <t>Census Tract 1331.04, Cuyahoga County, Ohio</t>
  </si>
  <si>
    <t>Census Tract 1341, Cuyahoga County, Ohio</t>
  </si>
  <si>
    <t>Census Tract 1342.03, Cuyahoga County, Ohio</t>
  </si>
  <si>
    <t>Census Tract 1342.04, Cuyahoga County, Ohio</t>
  </si>
  <si>
    <t>Census Tract 1342.05, Cuyahoga County, Ohio</t>
  </si>
  <si>
    <t>Census Tract 1342.06, Cuyahoga County, Ohio</t>
  </si>
  <si>
    <t>Census Tract 1343, Cuyahoga County, Ohio</t>
  </si>
  <si>
    <t>Census Tract 1351.03, Cuyahoga County, Ohio</t>
  </si>
  <si>
    <t>Census Tract 1351.04, Cuyahoga County, Ohio</t>
  </si>
  <si>
    <t>Census Tract 1351.05, Cuyahoga County, Ohio</t>
  </si>
  <si>
    <t>Census Tract 1351.06, Cuyahoga County, Ohio</t>
  </si>
  <si>
    <t>Census Tract 1361.01, Cuyahoga County, Ohio</t>
  </si>
  <si>
    <t>Census Tract 1361.02, Cuyahoga County, Ohio</t>
  </si>
  <si>
    <t>Census Tract 1361.03, Cuyahoga County, Ohio</t>
  </si>
  <si>
    <t>Census Tract 1371.01, Cuyahoga County, Ohio</t>
  </si>
  <si>
    <t>Census Tract 1371.02, Cuyahoga County, Ohio</t>
  </si>
  <si>
    <t>Census Tract 1371.03, Cuyahoga County, Ohio</t>
  </si>
  <si>
    <t>Census Tract 1381.05, Cuyahoga County, Ohio</t>
  </si>
  <si>
    <t>Census Tract 1381.06, Cuyahoga County, Ohio</t>
  </si>
  <si>
    <t>Census Tract 1381.07, Cuyahoga County, Ohio</t>
  </si>
  <si>
    <t>Census Tract 1381.08, Cuyahoga County, Ohio</t>
  </si>
  <si>
    <t>Census Tract 1381.09, Cuyahoga County, Ohio</t>
  </si>
  <si>
    <t>Census Tract 1381.10, Cuyahoga County, Ohio</t>
  </si>
  <si>
    <t>Census Tract 1401, Cuyahoga County, Ohio</t>
  </si>
  <si>
    <t>Census Tract 1403.01, Cuyahoga County, Ohio</t>
  </si>
  <si>
    <t>Census Tract 1403.02, Cuyahoga County, Ohio</t>
  </si>
  <si>
    <t>Census Tract 1404, Cuyahoga County, Ohio</t>
  </si>
  <si>
    <t>Census Tract 1405, Cuyahoga County, Ohio</t>
  </si>
  <si>
    <t>Census Tract 1406, Cuyahoga County, Ohio</t>
  </si>
  <si>
    <t>Census Tract 1407.01, Cuyahoga County, Ohio</t>
  </si>
  <si>
    <t>Census Tract 1407.02, Cuyahoga County, Ohio</t>
  </si>
  <si>
    <t>Census Tract 1408, Cuyahoga County, Ohio</t>
  </si>
  <si>
    <t>Census Tract 1409, Cuyahoga County, Ohio</t>
  </si>
  <si>
    <t>Census Tract 1410, Cuyahoga County, Ohio</t>
  </si>
  <si>
    <t>Census Tract 1411, Cuyahoga County, Ohio</t>
  </si>
  <si>
    <t>Census Tract 1412, Cuyahoga County, Ohio</t>
  </si>
  <si>
    <t>Census Tract 1413, Cuyahoga County, Ohio</t>
  </si>
  <si>
    <t>Census Tract 1414, Cuyahoga County, Ohio</t>
  </si>
  <si>
    <t>Census Tract 1415, Cuyahoga County, Ohio</t>
  </si>
  <si>
    <t>Census Tract 1416.01, Cuyahoga County, Ohio</t>
  </si>
  <si>
    <t>Census Tract 1416.02, Cuyahoga County, Ohio</t>
  </si>
  <si>
    <t>Census Tract 1417, Cuyahoga County, Ohio</t>
  </si>
  <si>
    <t>Census Tract 1501, Cuyahoga County, Ohio</t>
  </si>
  <si>
    <t>Census Tract 1503, Cuyahoga County, Ohio</t>
  </si>
  <si>
    <t>Census Tract 1504, Cuyahoga County, Ohio</t>
  </si>
  <si>
    <t>Census Tract 1511, Cuyahoga County, Ohio</t>
  </si>
  <si>
    <t>Census Tract 1512, Cuyahoga County, Ohio</t>
  </si>
  <si>
    <t>Census Tract 1513, Cuyahoga County, Ohio</t>
  </si>
  <si>
    <t>Census Tract 1514, Cuyahoga County, Ohio</t>
  </si>
  <si>
    <t>Census Tract 1515, Cuyahoga County, Ohio</t>
  </si>
  <si>
    <t>Census Tract 1516, Cuyahoga County, Ohio</t>
  </si>
  <si>
    <t>Census Tract 1517, Cuyahoga County, Ohio</t>
  </si>
  <si>
    <t>Census Tract 1518, Cuyahoga County, Ohio</t>
  </si>
  <si>
    <t>Census Tract 1521.01, Cuyahoga County, Ohio</t>
  </si>
  <si>
    <t>Census Tract 1521.02, Cuyahoga County, Ohio</t>
  </si>
  <si>
    <t>Census Tract 1522.01, Cuyahoga County, Ohio</t>
  </si>
  <si>
    <t>Census Tract 1522.02, Cuyahoga County, Ohio</t>
  </si>
  <si>
    <t>Census Tract 1523.01, Cuyahoga County, Ohio</t>
  </si>
  <si>
    <t>Census Tract 1523.02, Cuyahoga County, Ohio</t>
  </si>
  <si>
    <t>Census Tract 1523.03, Cuyahoga County, Ohio</t>
  </si>
  <si>
    <t>Census Tract 1524, Cuyahoga County, Ohio</t>
  </si>
  <si>
    <t>Census Tract 1525.01, Cuyahoga County, Ohio</t>
  </si>
  <si>
    <t>Census Tract 1525.02, Cuyahoga County, Ohio</t>
  </si>
  <si>
    <t>Census Tract 1526.03, Cuyahoga County, Ohio</t>
  </si>
  <si>
    <t>Census Tract 1526.04, Cuyahoga County, Ohio</t>
  </si>
  <si>
    <t>Census Tract 1527.01, Cuyahoga County, Ohio</t>
  </si>
  <si>
    <t>Census Tract 1527.02, Cuyahoga County, Ohio</t>
  </si>
  <si>
    <t>Census Tract 1527.03, Cuyahoga County, Ohio</t>
  </si>
  <si>
    <t>Census Tract 1531.03, Cuyahoga County, Ohio</t>
  </si>
  <si>
    <t>Census Tract 1531.04, Cuyahoga County, Ohio</t>
  </si>
  <si>
    <t>Census Tract 1531.05, Cuyahoga County, Ohio</t>
  </si>
  <si>
    <t>Census Tract 1531.06, Cuyahoga County, Ohio</t>
  </si>
  <si>
    <t>Census Tract 1531.07, Cuyahoga County, Ohio</t>
  </si>
  <si>
    <t>Census Tract 1541, Cuyahoga County, Ohio</t>
  </si>
  <si>
    <t>Census Tract 1542, Cuyahoga County, Ohio</t>
  </si>
  <si>
    <t>Census Tract 1543, Cuyahoga County, Ohio</t>
  </si>
  <si>
    <t>Census Tract 1544, Cuyahoga County, Ohio</t>
  </si>
  <si>
    <t>Census Tract 1545.01, Cuyahoga County, Ohio</t>
  </si>
  <si>
    <t>Census Tract 1545.02, Cuyahoga County, Ohio</t>
  </si>
  <si>
    <t>Census Tract 1546.01, Cuyahoga County, Ohio</t>
  </si>
  <si>
    <t>Census Tract 1546.03, Cuyahoga County, Ohio</t>
  </si>
  <si>
    <t>Census Tract 1546.04, Cuyahoga County, Ohio</t>
  </si>
  <si>
    <t>Census Tract 1547, Cuyahoga County, Ohio</t>
  </si>
  <si>
    <t>Census Tract 1551.01, Cuyahoga County, Ohio</t>
  </si>
  <si>
    <t>Census Tract 1551.02, Cuyahoga County, Ohio</t>
  </si>
  <si>
    <t>Census Tract 1561.01, Cuyahoga County, Ohio</t>
  </si>
  <si>
    <t>Census Tract 1561.02, Cuyahoga County, Ohio</t>
  </si>
  <si>
    <t>Census Tract 1601, Cuyahoga County, Ohio</t>
  </si>
  <si>
    <t>Census Tract 1602, Cuyahoga County, Ohio</t>
  </si>
  <si>
    <t>Census Tract 1603, Cuyahoga County, Ohio</t>
  </si>
  <si>
    <t>Census Tract 1604, Cuyahoga County, Ohio</t>
  </si>
  <si>
    <t>Census Tract 1605, Cuyahoga County, Ohio</t>
  </si>
  <si>
    <t>Census Tract 1606.01, Cuyahoga County, Ohio</t>
  </si>
  <si>
    <t>Census Tract 1606.02, Cuyahoga County, Ohio</t>
  </si>
  <si>
    <t>Census Tract 1607, Cuyahoga County, Ohio</t>
  </si>
  <si>
    <t>Census Tract 1608, Cuyahoga County, Ohio</t>
  </si>
  <si>
    <t>Census Tract 1609, Cuyahoga County, Ohio</t>
  </si>
  <si>
    <t>Census Tract 1610, Cuyahoga County, Ohio</t>
  </si>
  <si>
    <t>Census Tract 1611, Cuyahoga County, Ohio</t>
  </si>
  <si>
    <t>Census Tract 1612, Cuyahoga County, Ohio</t>
  </si>
  <si>
    <t>Census Tract 1613, Cuyahoga County, Ohio</t>
  </si>
  <si>
    <t>Census Tract 1614, Cuyahoga County, Ohio</t>
  </si>
  <si>
    <t>Census Tract 1615, Cuyahoga County, Ohio</t>
  </si>
  <si>
    <t>Census Tract 1616, Cuyahoga County, Ohio</t>
  </si>
  <si>
    <t>Census Tract 1617, Cuyahoga County, Ohio</t>
  </si>
  <si>
    <t>Census Tract 1618, Cuyahoga County, Ohio</t>
  </si>
  <si>
    <t>Census Tract 1701.01, Cuyahoga County, Ohio</t>
  </si>
  <si>
    <t>Census Tract 1701.02, Cuyahoga County, Ohio</t>
  </si>
  <si>
    <t>Census Tract 1702.01, Cuyahoga County, Ohio</t>
  </si>
  <si>
    <t>Census Tract 1702.02, Cuyahoga County, Ohio</t>
  </si>
  <si>
    <t>Census Tract 1711.02, Cuyahoga County, Ohio</t>
  </si>
  <si>
    <t>Census Tract 1711.03, Cuyahoga County, Ohio</t>
  </si>
  <si>
    <t>Census Tract 1711.04, Cuyahoga County, Ohio</t>
  </si>
  <si>
    <t>Census Tract 1712.03, Cuyahoga County, Ohio</t>
  </si>
  <si>
    <t>Census Tract 1712.04, Cuyahoga County, Ohio</t>
  </si>
  <si>
    <t>Census Tract 1712.05, Cuyahoga County, Ohio</t>
  </si>
  <si>
    <t>Census Tract 1712.06, Cuyahoga County, Ohio</t>
  </si>
  <si>
    <t>Census Tract 1721.01, Cuyahoga County, Ohio</t>
  </si>
  <si>
    <t>Census Tract 1721.02, Cuyahoga County, Ohio</t>
  </si>
  <si>
    <t>Census Tract 1721.03, Cuyahoga County, Ohio</t>
  </si>
  <si>
    <t>Census Tract 1722.01, Cuyahoga County, Ohio</t>
  </si>
  <si>
    <t>Census Tract 1722.02, Cuyahoga County, Ohio</t>
  </si>
  <si>
    <t>Census Tract 1731.03, Cuyahoga County, Ohio</t>
  </si>
  <si>
    <t>Census Tract 1731.04, Cuyahoga County, Ohio</t>
  </si>
  <si>
    <t>Census Tract 1731.05, Cuyahoga County, Ohio</t>
  </si>
  <si>
    <t>Census Tract 1731.06, Cuyahoga County, Ohio</t>
  </si>
  <si>
    <t>Census Tract 1731.07, Cuyahoga County, Ohio</t>
  </si>
  <si>
    <t>Census Tract 1741.03, Cuyahoga County, Ohio</t>
  </si>
  <si>
    <t>Census Tract 1741.04, Cuyahoga County, Ohio</t>
  </si>
  <si>
    <t>Census Tract 1741.05, Cuyahoga County, Ohio</t>
  </si>
  <si>
    <t>Census Tract 1741.06, Cuyahoga County, Ohio</t>
  </si>
  <si>
    <t>Census Tract 1741.07, Cuyahoga County, Ohio</t>
  </si>
  <si>
    <t>Census Tract 1742.03, Cuyahoga County, Ohio</t>
  </si>
  <si>
    <t>Census Tract 1742.04, Cuyahoga County, Ohio</t>
  </si>
  <si>
    <t>Census Tract 1742.05, Cuyahoga County, Ohio</t>
  </si>
  <si>
    <t>Census Tract 1742.06, Cuyahoga County, Ohio</t>
  </si>
  <si>
    <t>Census Tract 1742.07, Cuyahoga County, Ohio</t>
  </si>
  <si>
    <t>Census Tract 1751.03, Cuyahoga County, Ohio</t>
  </si>
  <si>
    <t>Census Tract 1751.04, Cuyahoga County, Ohio</t>
  </si>
  <si>
    <t>Census Tract 1751.05, Cuyahoga County, Ohio</t>
  </si>
  <si>
    <t>Census Tract 1751.06, Cuyahoga County, Ohio</t>
  </si>
  <si>
    <t>Census Tract 1752.01, Cuyahoga County, Ohio</t>
  </si>
  <si>
    <t>Census Tract 1752.02, Cuyahoga County, Ohio</t>
  </si>
  <si>
    <t>Census Tract 1761, Cuyahoga County, Ohio</t>
  </si>
  <si>
    <t>Census Tract 1762, Cuyahoga County, Ohio</t>
  </si>
  <si>
    <t>Census Tract 1771.01, Cuyahoga County, Ohio</t>
  </si>
  <si>
    <t>Census Tract 1771.03, Cuyahoga County, Ohio</t>
  </si>
  <si>
    <t>Census Tract 1771.04, Cuyahoga County, Ohio</t>
  </si>
  <si>
    <t>Census Tract 1772.01, Cuyahoga County, Ohio</t>
  </si>
  <si>
    <t>Census Tract 1772.02, Cuyahoga County, Ohio</t>
  </si>
  <si>
    <t>Census Tract 1773.02, Cuyahoga County, Ohio</t>
  </si>
  <si>
    <t>Census Tract 1773.03, Cuyahoga County, Ohio</t>
  </si>
  <si>
    <t>Census Tract 1773.04, Cuyahoga County, Ohio</t>
  </si>
  <si>
    <t>Census Tract 1774.03, Cuyahoga County, Ohio</t>
  </si>
  <si>
    <t>Census Tract 1774.04, Cuyahoga County, Ohio</t>
  </si>
  <si>
    <t>Census Tract 1774.05, Cuyahoga County, Ohio</t>
  </si>
  <si>
    <t>Census Tract 1774.06, Cuyahoga County, Ohio</t>
  </si>
  <si>
    <t>Census Tract 1775.01, Cuyahoga County, Ohio</t>
  </si>
  <si>
    <t>Census Tract 1775.03, Cuyahoga County, Ohio</t>
  </si>
  <si>
    <t>Census Tract 1775.04, Cuyahoga County, Ohio</t>
  </si>
  <si>
    <t>Census Tract 1775.05, Cuyahoga County, Ohio</t>
  </si>
  <si>
    <t>Census Tract 1776.04, Cuyahoga County, Ohio</t>
  </si>
  <si>
    <t>Census Tract 1776.05, Cuyahoga County, Ohio</t>
  </si>
  <si>
    <t>Census Tract 1776.06, Cuyahoga County, Ohio</t>
  </si>
  <si>
    <t>Census Tract 1776.07, Cuyahoga County, Ohio</t>
  </si>
  <si>
    <t>Census Tract 1776.08, Cuyahoga County, Ohio</t>
  </si>
  <si>
    <t>Census Tract 1776.09, Cuyahoga County, Ohio</t>
  </si>
  <si>
    <t>Census Tract 1781.01, Cuyahoga County, Ohio</t>
  </si>
  <si>
    <t>Census Tract 1781.02, Cuyahoga County, Ohio</t>
  </si>
  <si>
    <t>Census Tract 1782.01, Cuyahoga County, Ohio</t>
  </si>
  <si>
    <t>Census Tract 1782.04, Cuyahoga County, Ohio</t>
  </si>
  <si>
    <t>Census Tract 1782.05, Cuyahoga County, Ohio</t>
  </si>
  <si>
    <t>Census Tract 1782.06, Cuyahoga County, Ohio</t>
  </si>
  <si>
    <t>Census Tract 1791.01, Cuyahoga County, Ohio</t>
  </si>
  <si>
    <t>Census Tract 1791.02, Cuyahoga County, Ohio</t>
  </si>
  <si>
    <t>Census Tract 1801.02, Cuyahoga County, Ohio</t>
  </si>
  <si>
    <t>Census Tract 1801.03, Cuyahoga County, Ohio</t>
  </si>
  <si>
    <t>Census Tract 1801.04, Cuyahoga County, Ohio</t>
  </si>
  <si>
    <t>Census Tract 1811, Cuyahoga County, Ohio</t>
  </si>
  <si>
    <t>Census Tract 1812.01, Cuyahoga County, Ohio</t>
  </si>
  <si>
    <t>Census Tract 1812.03, Cuyahoga County, Ohio</t>
  </si>
  <si>
    <t>Census Tract 1812.04, Cuyahoga County, Ohio</t>
  </si>
  <si>
    <t>Census Tract 1821.03, Cuyahoga County, Ohio</t>
  </si>
  <si>
    <t>Census Tract 1821.04, Cuyahoga County, Ohio</t>
  </si>
  <si>
    <t>Census Tract 1821.05, Cuyahoga County, Ohio</t>
  </si>
  <si>
    <t>Census Tract 1821.06, Cuyahoga County, Ohio</t>
  </si>
  <si>
    <t>Census Tract 1831, Cuyahoga County, Ohio</t>
  </si>
  <si>
    <t>Census Tract 1832, Cuyahoga County, Ohio</t>
  </si>
  <si>
    <t>Census Tract 1833, Cuyahoga County, Ohio</t>
  </si>
  <si>
    <t>Census Tract 1834.01, Cuyahoga County, Ohio</t>
  </si>
  <si>
    <t>Census Tract 1834.02, Cuyahoga County, Ohio</t>
  </si>
  <si>
    <t>Census Tract 1835.01, Cuyahoga County, Ohio</t>
  </si>
  <si>
    <t>Census Tract 1835.02, Cuyahoga County, Ohio</t>
  </si>
  <si>
    <t>Census Tract 1836.03, Cuyahoga County, Ohio</t>
  </si>
  <si>
    <t>Census Tract 1836.04, Cuyahoga County, Ohio</t>
  </si>
  <si>
    <t>Census Tract 1836.05, Cuyahoga County, Ohio</t>
  </si>
  <si>
    <t>Census Tract 1836.06, Cuyahoga County, Ohio</t>
  </si>
  <si>
    <t>Census Tract 1841.03, Cuyahoga County, Ohio</t>
  </si>
  <si>
    <t>Census Tract 1841.04, Cuyahoga County, Ohio</t>
  </si>
  <si>
    <t>Census Tract 1841.05, Cuyahoga County, Ohio</t>
  </si>
  <si>
    <t>Census Tract 1841.06, Cuyahoga County, Ohio</t>
  </si>
  <si>
    <t>Census Tract 1841.08, Cuyahoga County, Ohio</t>
  </si>
  <si>
    <t>Census Tract 1851.01, Cuyahoga County, Ohio</t>
  </si>
  <si>
    <t>Census Tract 1851.02, Cuyahoga County, Ohio</t>
  </si>
  <si>
    <t>Census Tract 1851.03, Cuyahoga County, Ohio</t>
  </si>
  <si>
    <t>Census Tract 1851.04, Cuyahoga County, Ohio</t>
  </si>
  <si>
    <t>Census Tract 1852.01, Cuyahoga County, Ohio</t>
  </si>
  <si>
    <t>Census Tract 1852.02, Cuyahoga County, Ohio</t>
  </si>
  <si>
    <t>Census Tract 1852.03, Cuyahoga County, Ohio</t>
  </si>
  <si>
    <t>Census Tract 1861.03, Cuyahoga County, Ohio</t>
  </si>
  <si>
    <t>Census Tract 1861.04, Cuyahoga County, Ohio</t>
  </si>
  <si>
    <t>Census Tract 1861.05, Cuyahoga County, Ohio</t>
  </si>
  <si>
    <t>Census Tract 1861.06, Cuyahoga County, Ohio</t>
  </si>
  <si>
    <t>Census Tract 1861.07, Cuyahoga County, Ohio</t>
  </si>
  <si>
    <t>Census Tract 1862.01, Cuyahoga County, Ohio</t>
  </si>
  <si>
    <t>Census Tract 1862.02, Cuyahoga County, Ohio</t>
  </si>
  <si>
    <t>Census Tract 1862.03, Cuyahoga County, Ohio</t>
  </si>
  <si>
    <t>Census Tract 1862.05, Cuyahoga County, Ohio</t>
  </si>
  <si>
    <t>Census Tract 1862.06, Cuyahoga County, Ohio</t>
  </si>
  <si>
    <t>Census Tract 1871.03, Cuyahoga County, Ohio</t>
  </si>
  <si>
    <t>Census Tract 1871.04, Cuyahoga County, Ohio</t>
  </si>
  <si>
    <t>Census Tract 1871.05, Cuyahoga County, Ohio</t>
  </si>
  <si>
    <t>Census Tract 1871.06, Cuyahoga County, Ohio</t>
  </si>
  <si>
    <t>Census Tract 1881.03, Cuyahoga County, Ohio</t>
  </si>
  <si>
    <t>Census Tract 1881.04, Cuyahoga County, Ohio</t>
  </si>
  <si>
    <t>Census Tract 1881.05, Cuyahoga County, Ohio</t>
  </si>
  <si>
    <t>Census Tract 1881.06, Cuyahoga County, Ohio</t>
  </si>
  <si>
    <t>Census Tract 1881.07, Cuyahoga County, Ohio</t>
  </si>
  <si>
    <t>Census Tract 1891.05, Cuyahoga County, Ohio</t>
  </si>
  <si>
    <t>Census Tract 1891.07, Cuyahoga County, Ohio</t>
  </si>
  <si>
    <t>Census Tract 1891.08, Cuyahoga County, Ohio</t>
  </si>
  <si>
    <t>Census Tract 1891.09, Cuyahoga County, Ohio</t>
  </si>
  <si>
    <t>Census Tract 1891.10, Cuyahoga County, Ohio</t>
  </si>
  <si>
    <t>Census Tract 1891.11, Cuyahoga County, Ohio</t>
  </si>
  <si>
    <t>Census Tract 1891.12, Cuyahoga County, Ohio</t>
  </si>
  <si>
    <t>Census Tract 1905.02, Cuyahoga County, Ohio</t>
  </si>
  <si>
    <t>Census Tract 1905.03, Cuyahoga County, Ohio</t>
  </si>
  <si>
    <t>Census Tract 1905.04, Cuyahoga County, Ohio</t>
  </si>
  <si>
    <t>Census Tract 1923, Cuyahoga County, Ohio</t>
  </si>
  <si>
    <t>Census Tract 1928, Cuyahoga County, Ohio</t>
  </si>
  <si>
    <t>Census Tract 1929, Cuyahoga County, Ohio</t>
  </si>
  <si>
    <t>Census Tract 1938, Cuyahoga County, Ohio</t>
  </si>
  <si>
    <t>Census Tract 1939, Cuyahoga County, Ohio</t>
  </si>
  <si>
    <t>Census Tract 1941, Cuyahoga County, Ohio</t>
  </si>
  <si>
    <t>Census Tract 1943, Cuyahoga County, Ohio</t>
  </si>
  <si>
    <t>Census Tract 1945, Cuyahoga County, Ohio</t>
  </si>
  <si>
    <t>Census Tract 1948, Cuyahoga County, Ohio</t>
  </si>
  <si>
    <t>Census Tract 1949, Cuyahoga County, Ohio</t>
  </si>
  <si>
    <t>Census Tract 1956, Cuyahoga County, Ohio</t>
  </si>
  <si>
    <t>Census Tract 1957, Cuyahoga County, Ohio</t>
  </si>
  <si>
    <t>Census Tract 1958, Cuyahoga County, Ohio</t>
  </si>
  <si>
    <t>Census Tract 1959, Cuyahoga County, Ohio</t>
  </si>
  <si>
    <t>Census Tract 1960, Cuyahoga County, Ohio</t>
  </si>
  <si>
    <t>Census Tract 1961, Cuyahoga County, Ohio</t>
  </si>
  <si>
    <t>Census Tract 1962, Cuyahoga County, Ohio</t>
  </si>
  <si>
    <t>Census Tract 1963, Cuyahoga County, Ohio</t>
  </si>
  <si>
    <t>Census Tract 1964, Cuyahoga County, Ohio</t>
  </si>
  <si>
    <t>Census Tract 1965, Cuyahoga County, Ohio</t>
  </si>
  <si>
    <t>Census Tract 9801, Cuyahoga County, Ohio</t>
  </si>
  <si>
    <t>Census Tract 9805, Cuyahoga County, Ohio</t>
  </si>
  <si>
    <t>Census Tract 9811, Cuyahoga County, Ohio</t>
  </si>
  <si>
    <t>Census Tract 5001, Darke County, Ohio</t>
  </si>
  <si>
    <t>Census Tract 5101, Darke County, Ohio</t>
  </si>
  <si>
    <t>Census Tract 5201, Darke County, Ohio</t>
  </si>
  <si>
    <t>Census Tract 5301, Darke County, Ohio</t>
  </si>
  <si>
    <t>Census Tract 5401, Darke County, Ohio</t>
  </si>
  <si>
    <t>Census Tract 5501, Darke County, Ohio</t>
  </si>
  <si>
    <t>Census Tract 5550, Darke County, Ohio</t>
  </si>
  <si>
    <t>Census Tract 5551.01, Darke County, Ohio</t>
  </si>
  <si>
    <t>Census Tract 5551.02, Darke County, Ohio</t>
  </si>
  <si>
    <t>Census Tract 5601, Darke County, Ohio</t>
  </si>
  <si>
    <t>Census Tract 5701.01, Darke County, Ohio</t>
  </si>
  <si>
    <t>Census Tract 5701.02, Darke County, Ohio</t>
  </si>
  <si>
    <t>Census Tract 9581, Defiance County, Ohio</t>
  </si>
  <si>
    <t>Census Tract 9582, Defiance County, Ohio</t>
  </si>
  <si>
    <t>Census Tract 9583, Defiance County, Ohio</t>
  </si>
  <si>
    <t>Census Tract 9584, Defiance County, Ohio</t>
  </si>
  <si>
    <t>Census Tract 9585, Defiance County, Ohio</t>
  </si>
  <si>
    <t>Census Tract 9586, Defiance County, Ohio</t>
  </si>
  <si>
    <t>Census Tract 9587, Defiance County, Ohio</t>
  </si>
  <si>
    <t>Census Tract 9588, Defiance County, Ohio</t>
  </si>
  <si>
    <t>Census Tract 9589, Defiance County, Ohio</t>
  </si>
  <si>
    <t>Census Tract 101, Delaware County, Ohio</t>
  </si>
  <si>
    <t>Census Tract 102, Delaware County, Ohio</t>
  </si>
  <si>
    <t>Census Tract 104.20, Delaware County, Ohio</t>
  </si>
  <si>
    <t>Census Tract 104.21, Delaware County, Ohio</t>
  </si>
  <si>
    <t>Census Tract 104.22, Delaware County, Ohio</t>
  </si>
  <si>
    <t>Census Tract 105.20, Delaware County, Ohio</t>
  </si>
  <si>
    <t>Census Tract 105.30, Delaware County, Ohio</t>
  </si>
  <si>
    <t>Census Tract 111.01, Delaware County, Ohio</t>
  </si>
  <si>
    <t>Census Tract 111.02, Delaware County, Ohio</t>
  </si>
  <si>
    <t>Census Tract 112, Delaware County, Ohio</t>
  </si>
  <si>
    <t>Census Tract 114.11, Delaware County, Ohio</t>
  </si>
  <si>
    <t>Census Tract 114.12, Delaware County, Ohio</t>
  </si>
  <si>
    <t>Census Tract 114.13, Delaware County, Ohio</t>
  </si>
  <si>
    <t>Census Tract 114.21, Delaware County, Ohio</t>
  </si>
  <si>
    <t>Census Tract 114.23, Delaware County, Ohio</t>
  </si>
  <si>
    <t>Census Tract 114.30, Delaware County, Ohio</t>
  </si>
  <si>
    <t>Census Tract 115.20, Delaware County, Ohio</t>
  </si>
  <si>
    <t>Census Tract 115.30, Delaware County, Ohio</t>
  </si>
  <si>
    <t>Census Tract 115.40, Delaware County, Ohio</t>
  </si>
  <si>
    <t>Census Tract 115.50, Delaware County, Ohio</t>
  </si>
  <si>
    <t>Census Tract 115.60, Delaware County, Ohio</t>
  </si>
  <si>
    <t>Census Tract 115.61, Delaware County, Ohio</t>
  </si>
  <si>
    <t>Census Tract 116.04, Delaware County, Ohio</t>
  </si>
  <si>
    <t>Census Tract 117.10, Delaware County, Ohio</t>
  </si>
  <si>
    <t>Census Tract 117.30, Delaware County, Ohio</t>
  </si>
  <si>
    <t>Census Tract 117.40, Delaware County, Ohio</t>
  </si>
  <si>
    <t>Census Tract 117.50, Delaware County, Ohio</t>
  </si>
  <si>
    <t>Census Tract 117.60, Delaware County, Ohio</t>
  </si>
  <si>
    <t>Census Tract 117.62, Delaware County, Ohio</t>
  </si>
  <si>
    <t>Census Tract 119, Delaware County, Ohio</t>
  </si>
  <si>
    <t>Census Tract 120, Delaware County, Ohio</t>
  </si>
  <si>
    <t>Census Tract 121, Delaware County, Ohio</t>
  </si>
  <si>
    <t>Census Tract 122, Delaware County, Ohio</t>
  </si>
  <si>
    <t>Census Tract 123, Delaware County, Ohio</t>
  </si>
  <si>
    <t>Census Tract 124, Delaware County, Ohio</t>
  </si>
  <si>
    <t>Census Tract 401, Erie County, Ohio</t>
  </si>
  <si>
    <t>Census Tract 402, Erie County, Ohio</t>
  </si>
  <si>
    <t>Census Tract 403, Erie County, Ohio</t>
  </si>
  <si>
    <t>Census Tract 404, Erie County, Ohio</t>
  </si>
  <si>
    <t>Census Tract 405, Erie County, Ohio</t>
  </si>
  <si>
    <t>Census Tract 406, Erie County, Ohio</t>
  </si>
  <si>
    <t>Census Tract 407, Erie County, Ohio</t>
  </si>
  <si>
    <t>Census Tract 408, Erie County, Ohio</t>
  </si>
  <si>
    <t>Census Tract 409, Erie County, Ohio</t>
  </si>
  <si>
    <t>Census Tract 410, Erie County, Ohio</t>
  </si>
  <si>
    <t>Census Tract 411, Erie County, Ohio</t>
  </si>
  <si>
    <t>Census Tract 412, Erie County, Ohio</t>
  </si>
  <si>
    <t>Census Tract 413, Erie County, Ohio</t>
  </si>
  <si>
    <t>Census Tract 414, Erie County, Ohio</t>
  </si>
  <si>
    <t>Census Tract 415, Erie County, Ohio</t>
  </si>
  <si>
    <t>Census Tract 416, Erie County, Ohio</t>
  </si>
  <si>
    <t>Census Tract 417, Erie County, Ohio</t>
  </si>
  <si>
    <t>Census Tract 418, Erie County, Ohio</t>
  </si>
  <si>
    <t>Census Tract 301, Fairfield County, Ohio</t>
  </si>
  <si>
    <t>Census Tract 302, Fairfield County, Ohio</t>
  </si>
  <si>
    <t>Census Tract 303, Fairfield County, Ohio</t>
  </si>
  <si>
    <t>Census Tract 304, Fairfield County, Ohio</t>
  </si>
  <si>
    <t>Census Tract 306, Fairfield County, Ohio</t>
  </si>
  <si>
    <t>Census Tract 307, Fairfield County, Ohio</t>
  </si>
  <si>
    <t>Census Tract 308, Fairfield County, Ohio</t>
  </si>
  <si>
    <t>Census Tract 309, Fairfield County, Ohio</t>
  </si>
  <si>
    <t>Census Tract 310, Fairfield County, Ohio</t>
  </si>
  <si>
    <t>Census Tract 311, Fairfield County, Ohio</t>
  </si>
  <si>
    <t>Census Tract 312, Fairfield County, Ohio</t>
  </si>
  <si>
    <t>Census Tract 313, Fairfield County, Ohio</t>
  </si>
  <si>
    <t>Census Tract 314, Fairfield County, Ohio</t>
  </si>
  <si>
    <t>Census Tract 315, Fairfield County, Ohio</t>
  </si>
  <si>
    <t>Census Tract 316, Fairfield County, Ohio</t>
  </si>
  <si>
    <t>Census Tract 317, Fairfield County, Ohio</t>
  </si>
  <si>
    <t>Census Tract 320, Fairfield County, Ohio</t>
  </si>
  <si>
    <t>Census Tract 321, Fairfield County, Ohio</t>
  </si>
  <si>
    <t>Census Tract 322, Fairfield County, Ohio</t>
  </si>
  <si>
    <t>Census Tract 323, Fairfield County, Ohio</t>
  </si>
  <si>
    <t>Census Tract 325, Fairfield County, Ohio</t>
  </si>
  <si>
    <t>Census Tract 326, Fairfield County, Ohio</t>
  </si>
  <si>
    <t>Census Tract 327.01, Fairfield County, Ohio</t>
  </si>
  <si>
    <t>Census Tract 327.02, Fairfield County, Ohio</t>
  </si>
  <si>
    <t>Census Tract 328, Fairfield County, Ohio</t>
  </si>
  <si>
    <t>Census Tract 329, Fairfield County, Ohio</t>
  </si>
  <si>
    <t>Census Tract 330, Fairfield County, Ohio</t>
  </si>
  <si>
    <t>Census Tract 331, Fairfield County, Ohio</t>
  </si>
  <si>
    <t>Census Tract 9258, Fayette County, Ohio</t>
  </si>
  <si>
    <t>Census Tract 9259, Fayette County, Ohio</t>
  </si>
  <si>
    <t>Census Tract 9260, Fayette County, Ohio</t>
  </si>
  <si>
    <t>Census Tract 9261, Fayette County, Ohio</t>
  </si>
  <si>
    <t>Census Tract 9262, Fayette County, Ohio</t>
  </si>
  <si>
    <t>Census Tract 9263, Fayette County, Ohio</t>
  </si>
  <si>
    <t>Census Tract 9264, Fayette County, Ohio</t>
  </si>
  <si>
    <t>Census Tract 1.10, Franklin County, Ohio</t>
  </si>
  <si>
    <t>Census Tract 1.20, Franklin County, Ohio</t>
  </si>
  <si>
    <t>Census Tract 2.10, Franklin County, Ohio</t>
  </si>
  <si>
    <t>Census Tract 2.20, Franklin County, Ohio</t>
  </si>
  <si>
    <t>Census Tract 3.10, Franklin County, Ohio</t>
  </si>
  <si>
    <t>Census Tract 3.20, Franklin County, Ohio</t>
  </si>
  <si>
    <t>Census Tract 3.30, Franklin County, Ohio</t>
  </si>
  <si>
    <t>Census Tract 4.10, Franklin County, Ohio</t>
  </si>
  <si>
    <t>Census Tract 4.20, Franklin County, Ohio</t>
  </si>
  <si>
    <t>Census Tract 5, Franklin County, Ohio</t>
  </si>
  <si>
    <t>Census Tract 6, Franklin County, Ohio</t>
  </si>
  <si>
    <t>Census Tract 7.10, Franklin County, Ohio</t>
  </si>
  <si>
    <t>Census Tract 7.20, Franklin County, Ohio</t>
  </si>
  <si>
    <t>Census Tract 7.30, Franklin County, Ohio</t>
  </si>
  <si>
    <t>Census Tract 8.10, Franklin County, Ohio</t>
  </si>
  <si>
    <t>Census Tract 8.20, Franklin County, Ohio</t>
  </si>
  <si>
    <t>Census Tract 9.10, Franklin County, Ohio</t>
  </si>
  <si>
    <t>Census Tract 9.20, Franklin County, Ohio</t>
  </si>
  <si>
    <t>Census Tract 10, Franklin County, Ohio</t>
  </si>
  <si>
    <t>Census Tract 11.10, Franklin County, Ohio</t>
  </si>
  <si>
    <t>Census Tract 11.21, Franklin County, Ohio</t>
  </si>
  <si>
    <t>Census Tract 11.22, Franklin County, Ohio</t>
  </si>
  <si>
    <t>Census Tract 12, Franklin County, Ohio</t>
  </si>
  <si>
    <t>Census Tract 13, Franklin County, Ohio</t>
  </si>
  <si>
    <t>Census Tract 14, Franklin County, Ohio</t>
  </si>
  <si>
    <t>Census Tract 15, Franklin County, Ohio</t>
  </si>
  <si>
    <t>Census Tract 16, Franklin County, Ohio</t>
  </si>
  <si>
    <t>Census Tract 17, Franklin County, Ohio</t>
  </si>
  <si>
    <t>Census Tract 18.10, Franklin County, Ohio</t>
  </si>
  <si>
    <t>Census Tract 18.20, Franklin County, Ohio</t>
  </si>
  <si>
    <t>Census Tract 19.01, Franklin County, Ohio</t>
  </si>
  <si>
    <t>Census Tract 19.02, Franklin County, Ohio</t>
  </si>
  <si>
    <t>Census Tract 20, Franklin County, Ohio</t>
  </si>
  <si>
    <t>Census Tract 21, Franklin County, Ohio</t>
  </si>
  <si>
    <t>Census Tract 22, Franklin County, Ohio</t>
  </si>
  <si>
    <t>Census Tract 23, Franklin County, Ohio</t>
  </si>
  <si>
    <t>Census Tract 25.10, Franklin County, Ohio</t>
  </si>
  <si>
    <t>Census Tract 25.20, Franklin County, Ohio</t>
  </si>
  <si>
    <t>Census Tract 26, Franklin County, Ohio</t>
  </si>
  <si>
    <t>Census Tract 27.10, Franklin County, Ohio</t>
  </si>
  <si>
    <t>Census Tract 27.30, Franklin County, Ohio</t>
  </si>
  <si>
    <t>Census Tract 27.40, Franklin County, Ohio</t>
  </si>
  <si>
    <t>Census Tract 27.50, Franklin County, Ohio</t>
  </si>
  <si>
    <t>Census Tract 27.60, Franklin County, Ohio</t>
  </si>
  <si>
    <t>Census Tract 27.70, Franklin County, Ohio</t>
  </si>
  <si>
    <t>Census Tract 27.80, Franklin County, Ohio</t>
  </si>
  <si>
    <t>Census Tract 28, Franklin County, Ohio</t>
  </si>
  <si>
    <t>Census Tract 29, Franklin County, Ohio</t>
  </si>
  <si>
    <t>Census Tract 30, Franklin County, Ohio</t>
  </si>
  <si>
    <t>Census Tract 32, Franklin County, Ohio</t>
  </si>
  <si>
    <t>Census Tract 36, Franklin County, Ohio</t>
  </si>
  <si>
    <t>Census Tract 37, Franklin County, Ohio</t>
  </si>
  <si>
    <t>Census Tract 38, Franklin County, Ohio</t>
  </si>
  <si>
    <t>Census Tract 40, Franklin County, Ohio</t>
  </si>
  <si>
    <t>Census Tract 42, Franklin County, Ohio</t>
  </si>
  <si>
    <t>Census Tract 43, Franklin County, Ohio</t>
  </si>
  <si>
    <t>Census Tract 45, Franklin County, Ohio</t>
  </si>
  <si>
    <t>Census Tract 46.10, Franklin County, Ohio</t>
  </si>
  <si>
    <t>Census Tract 46.20, Franklin County, Ohio</t>
  </si>
  <si>
    <t>Census Tract 47, Franklin County, Ohio</t>
  </si>
  <si>
    <t>Census Tract 48.10, Franklin County, Ohio</t>
  </si>
  <si>
    <t>Census Tract 48.20, Franklin County, Ohio</t>
  </si>
  <si>
    <t>Census Tract 49, Franklin County, Ohio</t>
  </si>
  <si>
    <t>Census Tract 50, Franklin County, Ohio</t>
  </si>
  <si>
    <t>Census Tract 51, Franklin County, Ohio</t>
  </si>
  <si>
    <t>Census Tract 52, Franklin County, Ohio</t>
  </si>
  <si>
    <t>Census Tract 53, Franklin County, Ohio</t>
  </si>
  <si>
    <t>Census Tract 54.10, Franklin County, Ohio</t>
  </si>
  <si>
    <t>Census Tract 54.20, Franklin County, Ohio</t>
  </si>
  <si>
    <t>Census Tract 55, Franklin County, Ohio</t>
  </si>
  <si>
    <t>Census Tract 56.10, Franklin County, Ohio</t>
  </si>
  <si>
    <t>Census Tract 56.20, Franklin County, Ohio</t>
  </si>
  <si>
    <t>Census Tract 57, Franklin County, Ohio</t>
  </si>
  <si>
    <t>Census Tract 58.10, Franklin County, Ohio</t>
  </si>
  <si>
    <t>Census Tract 58.20, Franklin County, Ohio</t>
  </si>
  <si>
    <t>Census Tract 59, Franklin County, Ohio</t>
  </si>
  <si>
    <t>Census Tract 60, Franklin County, Ohio</t>
  </si>
  <si>
    <t>Census Tract 61, Franklin County, Ohio</t>
  </si>
  <si>
    <t>Census Tract 62.20, Franklin County, Ohio</t>
  </si>
  <si>
    <t>Census Tract 62.30, Franklin County, Ohio</t>
  </si>
  <si>
    <t>Census Tract 62.36, Franklin County, Ohio</t>
  </si>
  <si>
    <t>Census Tract 63.10, Franklin County, Ohio</t>
  </si>
  <si>
    <t>Census Tract 63.21, Franklin County, Ohio</t>
  </si>
  <si>
    <t>Census Tract 63.23, Franklin County, Ohio</t>
  </si>
  <si>
    <t>Census Tract 63.30, Franklin County, Ohio</t>
  </si>
  <si>
    <t>Census Tract 63.40, Franklin County, Ohio</t>
  </si>
  <si>
    <t>Census Tract 63.51, Franklin County, Ohio</t>
  </si>
  <si>
    <t>Census Tract 63.52, Franklin County, Ohio</t>
  </si>
  <si>
    <t>Census Tract 63.53, Franklin County, Ohio</t>
  </si>
  <si>
    <t>Census Tract 63.71, Franklin County, Ohio</t>
  </si>
  <si>
    <t>Census Tract 63.72, Franklin County, Ohio</t>
  </si>
  <si>
    <t>Census Tract 63.83, Franklin County, Ohio</t>
  </si>
  <si>
    <t>Census Tract 63.84, Franklin County, Ohio</t>
  </si>
  <si>
    <t>Census Tract 63.86, Franklin County, Ohio</t>
  </si>
  <si>
    <t>Census Tract 63.87, Franklin County, Ohio</t>
  </si>
  <si>
    <t>Census Tract 63.91, Franklin County, Ohio</t>
  </si>
  <si>
    <t>Census Tract 63.92, Franklin County, Ohio</t>
  </si>
  <si>
    <t>Census Tract 63.93, Franklin County, Ohio</t>
  </si>
  <si>
    <t>Census Tract 63.94, Franklin County, Ohio</t>
  </si>
  <si>
    <t>Census Tract 63.95, Franklin County, Ohio</t>
  </si>
  <si>
    <t>Census Tract 63.96, Franklin County, Ohio</t>
  </si>
  <si>
    <t>Census Tract 64.10, Franklin County, Ohio</t>
  </si>
  <si>
    <t>Census Tract 64.30, Franklin County, Ohio</t>
  </si>
  <si>
    <t>Census Tract 65, Franklin County, Ohio</t>
  </si>
  <si>
    <t>Census Tract 66, Franklin County, Ohio</t>
  </si>
  <si>
    <t>Census Tract 67.10, Franklin County, Ohio</t>
  </si>
  <si>
    <t>Census Tract 67.21, Franklin County, Ohio</t>
  </si>
  <si>
    <t>Census Tract 67.22, Franklin County, Ohio</t>
  </si>
  <si>
    <t>Census Tract 68.10, Franklin County, Ohio</t>
  </si>
  <si>
    <t>Census Tract 68.21, Franklin County, Ohio</t>
  </si>
  <si>
    <t>Census Tract 68.22, Franklin County, Ohio</t>
  </si>
  <si>
    <t>Census Tract 69.10, Franklin County, Ohio</t>
  </si>
  <si>
    <t>Census Tract 69.21, Franklin County, Ohio</t>
  </si>
  <si>
    <t>Census Tract 69.23, Franklin County, Ohio</t>
  </si>
  <si>
    <t>Census Tract 69.24, Franklin County, Ohio</t>
  </si>
  <si>
    <t>Census Tract 69.31, Franklin County, Ohio</t>
  </si>
  <si>
    <t>Census Tract 69.32, Franklin County, Ohio</t>
  </si>
  <si>
    <t>Census Tract 69.33, Franklin County, Ohio</t>
  </si>
  <si>
    <t>Census Tract 69.42, Franklin County, Ohio</t>
  </si>
  <si>
    <t>Census Tract 69.43, Franklin County, Ohio</t>
  </si>
  <si>
    <t>Census Tract 69.44, Franklin County, Ohio</t>
  </si>
  <si>
    <t>Census Tract 69.45, Franklin County, Ohio</t>
  </si>
  <si>
    <t>Census Tract 69.50, Franklin County, Ohio</t>
  </si>
  <si>
    <t>Census Tract 69.90, Franklin County, Ohio</t>
  </si>
  <si>
    <t>Census Tract 70.10, Franklin County, Ohio</t>
  </si>
  <si>
    <t>Census Tract 70.20, Franklin County, Ohio</t>
  </si>
  <si>
    <t>Census Tract 70.41, Franklin County, Ohio</t>
  </si>
  <si>
    <t>Census Tract 70.43, Franklin County, Ohio</t>
  </si>
  <si>
    <t>Census Tract 70.44, Franklin County, Ohio</t>
  </si>
  <si>
    <t>Census Tract 70.47, Franklin County, Ohio</t>
  </si>
  <si>
    <t>Census Tract 70.48, Franklin County, Ohio</t>
  </si>
  <si>
    <t>Census Tract 71.12, Franklin County, Ohio</t>
  </si>
  <si>
    <t>Census Tract 71.13, Franklin County, Ohio</t>
  </si>
  <si>
    <t>Census Tract 71.14, Franklin County, Ohio</t>
  </si>
  <si>
    <t>Census Tract 71.15, Franklin County, Ohio</t>
  </si>
  <si>
    <t>Census Tract 71.20, Franklin County, Ohio</t>
  </si>
  <si>
    <t>Census Tract 71.32, Franklin County, Ohio</t>
  </si>
  <si>
    <t>Census Tract 71.93, Franklin County, Ohio</t>
  </si>
  <si>
    <t>Census Tract 71.94, Franklin County, Ohio</t>
  </si>
  <si>
    <t>Census Tract 71.98, Franklin County, Ohio</t>
  </si>
  <si>
    <t>Census Tract 71.99, Franklin County, Ohio</t>
  </si>
  <si>
    <t>Census Tract 72.01, Franklin County, Ohio</t>
  </si>
  <si>
    <t>Census Tract 72.02, Franklin County, Ohio</t>
  </si>
  <si>
    <t>Census Tract 72.03, Franklin County, Ohio</t>
  </si>
  <si>
    <t>Census Tract 72.05, Franklin County, Ohio</t>
  </si>
  <si>
    <t>Census Tract 72.07, Franklin County, Ohio</t>
  </si>
  <si>
    <t>Census Tract 72.09, Franklin County, Ohio</t>
  </si>
  <si>
    <t>Census Tract 72.10, Franklin County, Ohio</t>
  </si>
  <si>
    <t>Census Tract 73.93, Franklin County, Ohio</t>
  </si>
  <si>
    <t>Census Tract 73.94, Franklin County, Ohio</t>
  </si>
  <si>
    <t>Census Tract 73.95, Franklin County, Ohio</t>
  </si>
  <si>
    <t>Census Tract 73.96, Franklin County, Ohio</t>
  </si>
  <si>
    <t>Census Tract 74.24, Franklin County, Ohio</t>
  </si>
  <si>
    <t>Census Tract 74.25, Franklin County, Ohio</t>
  </si>
  <si>
    <t>Census Tract 74.26, Franklin County, Ohio</t>
  </si>
  <si>
    <t>Census Tract 74.27, Franklin County, Ohio</t>
  </si>
  <si>
    <t>Census Tract 74.92, Franklin County, Ohio</t>
  </si>
  <si>
    <t>Census Tract 74.94, Franklin County, Ohio</t>
  </si>
  <si>
    <t>Census Tract 75.11, Franklin County, Ohio</t>
  </si>
  <si>
    <t>Census Tract 75.12, Franklin County, Ohio</t>
  </si>
  <si>
    <t>Census Tract 75.20, Franklin County, Ohio</t>
  </si>
  <si>
    <t>Census Tract 75.31, Franklin County, Ohio</t>
  </si>
  <si>
    <t>Census Tract 75.32, Franklin County, Ohio</t>
  </si>
  <si>
    <t>Census Tract 75.33, Franklin County, Ohio</t>
  </si>
  <si>
    <t>Census Tract 75.34, Franklin County, Ohio</t>
  </si>
  <si>
    <t>Census Tract 75.50, Franklin County, Ohio</t>
  </si>
  <si>
    <t>Census Tract 75.51, Franklin County, Ohio</t>
  </si>
  <si>
    <t>Census Tract 77.10, Franklin County, Ohio</t>
  </si>
  <si>
    <t>Census Tract 77.21, Franklin County, Ohio</t>
  </si>
  <si>
    <t>Census Tract 77.22, Franklin County, Ohio</t>
  </si>
  <si>
    <t>Census Tract 77.30, Franklin County, Ohio</t>
  </si>
  <si>
    <t>Census Tract 77.40, Franklin County, Ohio</t>
  </si>
  <si>
    <t>Census Tract 78.11, Franklin County, Ohio</t>
  </si>
  <si>
    <t>Census Tract 78.12, Franklin County, Ohio</t>
  </si>
  <si>
    <t>Census Tract 78.20, Franklin County, Ohio</t>
  </si>
  <si>
    <t>Census Tract 78.30, Franklin County, Ohio</t>
  </si>
  <si>
    <t>Census Tract 79.21, Franklin County, Ohio</t>
  </si>
  <si>
    <t>Census Tract 79.22, Franklin County, Ohio</t>
  </si>
  <si>
    <t>Census Tract 79.31, Franklin County, Ohio</t>
  </si>
  <si>
    <t>Census Tract 79.33, Franklin County, Ohio</t>
  </si>
  <si>
    <t>Census Tract 79.41, Franklin County, Ohio</t>
  </si>
  <si>
    <t>Census Tract 79.51, Franklin County, Ohio</t>
  </si>
  <si>
    <t>Census Tract 79.52, Franklin County, Ohio</t>
  </si>
  <si>
    <t>Census Tract 79.53, Franklin County, Ohio</t>
  </si>
  <si>
    <t>Census Tract 79.54, Franklin County, Ohio</t>
  </si>
  <si>
    <t>Census Tract 80, Franklin County, Ohio</t>
  </si>
  <si>
    <t>Census Tract 81.10, Franklin County, Ohio</t>
  </si>
  <si>
    <t>Census Tract 81.20, Franklin County, Ohio</t>
  </si>
  <si>
    <t>Census Tract 81.32, Franklin County, Ohio</t>
  </si>
  <si>
    <t>Census Tract 81.41, Franklin County, Ohio</t>
  </si>
  <si>
    <t>Census Tract 81.42, Franklin County, Ohio</t>
  </si>
  <si>
    <t>Census Tract 81.61, Franklin County, Ohio</t>
  </si>
  <si>
    <t>Census Tract 81.62, Franklin County, Ohio</t>
  </si>
  <si>
    <t>Census Tract 81.63, Franklin County, Ohio</t>
  </si>
  <si>
    <t>Census Tract 81.64, Franklin County, Ohio</t>
  </si>
  <si>
    <t>Census Tract 82.10, Franklin County, Ohio</t>
  </si>
  <si>
    <t>Census Tract 82.30, Franklin County, Ohio</t>
  </si>
  <si>
    <t>Census Tract 82.41, Franklin County, Ohio</t>
  </si>
  <si>
    <t>Census Tract 82.42, Franklin County, Ohio</t>
  </si>
  <si>
    <t>Census Tract 83.11, Franklin County, Ohio</t>
  </si>
  <si>
    <t>Census Tract 83.12, Franklin County, Ohio</t>
  </si>
  <si>
    <t>Census Tract 83.21, Franklin County, Ohio</t>
  </si>
  <si>
    <t>Census Tract 83.22, Franklin County, Ohio</t>
  </si>
  <si>
    <t>Census Tract 83.30, Franklin County, Ohio</t>
  </si>
  <si>
    <t>Census Tract 83.40, Franklin County, Ohio</t>
  </si>
  <si>
    <t>Census Tract 83.50, Franklin County, Ohio</t>
  </si>
  <si>
    <t>Census Tract 83.60, Franklin County, Ohio</t>
  </si>
  <si>
    <t>Census Tract 83.70, Franklin County, Ohio</t>
  </si>
  <si>
    <t>Census Tract 83.80, Franklin County, Ohio</t>
  </si>
  <si>
    <t>Census Tract 84, Franklin County, Ohio</t>
  </si>
  <si>
    <t>Census Tract 85, Franklin County, Ohio</t>
  </si>
  <si>
    <t>Census Tract 87.10, Franklin County, Ohio</t>
  </si>
  <si>
    <t>Census Tract 87.20, Franklin County, Ohio</t>
  </si>
  <si>
    <t>Census Tract 87.30, Franklin County, Ohio</t>
  </si>
  <si>
    <t>Census Tract 88.11, Franklin County, Ohio</t>
  </si>
  <si>
    <t>Census Tract 88.12, Franklin County, Ohio</t>
  </si>
  <si>
    <t>Census Tract 88.13, Franklin County, Ohio</t>
  </si>
  <si>
    <t>Census Tract 88.21, Franklin County, Ohio</t>
  </si>
  <si>
    <t>Census Tract 88.22, Franklin County, Ohio</t>
  </si>
  <si>
    <t>Census Tract 88.25, Franklin County, Ohio</t>
  </si>
  <si>
    <t>Census Tract 89, Franklin County, Ohio</t>
  </si>
  <si>
    <t>Census Tract 90, Franklin County, Ohio</t>
  </si>
  <si>
    <t>Census Tract 91, Franklin County, Ohio</t>
  </si>
  <si>
    <t>Census Tract 92.10, Franklin County, Ohio</t>
  </si>
  <si>
    <t>Census Tract 92.20, Franklin County, Ohio</t>
  </si>
  <si>
    <t>Census Tract 92.30, Franklin County, Ohio</t>
  </si>
  <si>
    <t>Census Tract 92.40, Franklin County, Ohio</t>
  </si>
  <si>
    <t>Census Tract 92.50, Franklin County, Ohio</t>
  </si>
  <si>
    <t>Census Tract 93.11, Franklin County, Ohio</t>
  </si>
  <si>
    <t>Census Tract 93.12, Franklin County, Ohio</t>
  </si>
  <si>
    <t>Census Tract 93.21, Franklin County, Ohio</t>
  </si>
  <si>
    <t>Census Tract 93.22, Franklin County, Ohio</t>
  </si>
  <si>
    <t>Census Tract 93.23, Franklin County, Ohio</t>
  </si>
  <si>
    <t>Census Tract 93.25, Franklin County, Ohio</t>
  </si>
  <si>
    <t>Census Tract 93.26, Franklin County, Ohio</t>
  </si>
  <si>
    <t>Census Tract 93.31, Franklin County, Ohio</t>
  </si>
  <si>
    <t>Census Tract 93.32, Franklin County, Ohio</t>
  </si>
  <si>
    <t>Census Tract 93.33, Franklin County, Ohio</t>
  </si>
  <si>
    <t>Census Tract 93.34, Franklin County, Ohio</t>
  </si>
  <si>
    <t>Census Tract 93.36, Franklin County, Ohio</t>
  </si>
  <si>
    <t>Census Tract 93.37, Franklin County, Ohio</t>
  </si>
  <si>
    <t>Census Tract 93.40, Franklin County, Ohio</t>
  </si>
  <si>
    <t>Census Tract 93.50, Franklin County, Ohio</t>
  </si>
  <si>
    <t>Census Tract 93.61, Franklin County, Ohio</t>
  </si>
  <si>
    <t>Census Tract 93.62, Franklin County, Ohio</t>
  </si>
  <si>
    <t>Census Tract 93.71, Franklin County, Ohio</t>
  </si>
  <si>
    <t>Census Tract 93.72, Franklin County, Ohio</t>
  </si>
  <si>
    <t>Census Tract 93.73, Franklin County, Ohio</t>
  </si>
  <si>
    <t>Census Tract 93.74, Franklin County, Ohio</t>
  </si>
  <si>
    <t>Census Tract 93.81, Franklin County, Ohio</t>
  </si>
  <si>
    <t>Census Tract 93.82, Franklin County, Ohio</t>
  </si>
  <si>
    <t>Census Tract 93.83, Franklin County, Ohio</t>
  </si>
  <si>
    <t>Census Tract 93.84, Franklin County, Ohio</t>
  </si>
  <si>
    <t>Census Tract 93.85, Franklin County, Ohio</t>
  </si>
  <si>
    <t>Census Tract 93.86, Franklin County, Ohio</t>
  </si>
  <si>
    <t>Census Tract 93.90, Franklin County, Ohio</t>
  </si>
  <si>
    <t>Census Tract 94.10, Franklin County, Ohio</t>
  </si>
  <si>
    <t>Census Tract 94.20, Franklin County, Ohio</t>
  </si>
  <si>
    <t>Census Tract 94.30, Franklin County, Ohio</t>
  </si>
  <si>
    <t>Census Tract 94.40, Franklin County, Ohio</t>
  </si>
  <si>
    <t>Census Tract 94.50, Franklin County, Ohio</t>
  </si>
  <si>
    <t>Census Tract 94.95, Franklin County, Ohio</t>
  </si>
  <si>
    <t>Census Tract 94.97, Franklin County, Ohio</t>
  </si>
  <si>
    <t>Census Tract 95.20, Franklin County, Ohio</t>
  </si>
  <si>
    <t>Census Tract 95.90, Franklin County, Ohio</t>
  </si>
  <si>
    <t>Census Tract 96, Franklin County, Ohio</t>
  </si>
  <si>
    <t>Census Tract 97.11, Franklin County, Ohio</t>
  </si>
  <si>
    <t>Census Tract 97.12, Franklin County, Ohio</t>
  </si>
  <si>
    <t>Census Tract 97.20, Franklin County, Ohio</t>
  </si>
  <si>
    <t>Census Tract 97.40, Franklin County, Ohio</t>
  </si>
  <si>
    <t>Census Tract 97.51, Franklin County, Ohio</t>
  </si>
  <si>
    <t>Census Tract 97.52, Franklin County, Ohio</t>
  </si>
  <si>
    <t>Census Tract 98, Franklin County, Ohio</t>
  </si>
  <si>
    <t>Census Tract 99, Franklin County, Ohio</t>
  </si>
  <si>
    <t>Census Tract 100, Franklin County, Ohio</t>
  </si>
  <si>
    <t>Census Tract 101, Franklin County, Ohio</t>
  </si>
  <si>
    <t>Census Tract 102, Franklin County, Ohio</t>
  </si>
  <si>
    <t>Census Tract 103, Franklin County, Ohio</t>
  </si>
  <si>
    <t>Census Tract 104, Franklin County, Ohio</t>
  </si>
  <si>
    <t>Census Tract 105, Franklin County, Ohio</t>
  </si>
  <si>
    <t>Census Tract 106.01, Franklin County, Ohio</t>
  </si>
  <si>
    <t>Census Tract 106.02, Franklin County, Ohio</t>
  </si>
  <si>
    <t>Census Tract 107, Franklin County, Ohio</t>
  </si>
  <si>
    <t>Census Tract 9800, Franklin County, Ohio</t>
  </si>
  <si>
    <t>Census Tract 401, Fulton County, Ohio</t>
  </si>
  <si>
    <t>Census Tract 402, Fulton County, Ohio</t>
  </si>
  <si>
    <t>Census Tract 403, Fulton County, Ohio</t>
  </si>
  <si>
    <t>Census Tract 404, Fulton County, Ohio</t>
  </si>
  <si>
    <t>Census Tract 405, Fulton County, Ohio</t>
  </si>
  <si>
    <t>Census Tract 406, Fulton County, Ohio</t>
  </si>
  <si>
    <t>Census Tract 407, Fulton County, Ohio</t>
  </si>
  <si>
    <t>Census Tract 408, Fulton County, Ohio</t>
  </si>
  <si>
    <t>Census Tract 409, Fulton County, Ohio</t>
  </si>
  <si>
    <t>Census Tract 9535, Gallia County, Ohio</t>
  </si>
  <si>
    <t>Census Tract 9536, Gallia County, Ohio</t>
  </si>
  <si>
    <t>Census Tract 9537, Gallia County, Ohio</t>
  </si>
  <si>
    <t>Census Tract 9538, Gallia County, Ohio</t>
  </si>
  <si>
    <t>Census Tract 9539, Gallia County, Ohio</t>
  </si>
  <si>
    <t>Census Tract 9540, Gallia County, Ohio</t>
  </si>
  <si>
    <t>Census Tract 9541, Gallia County, Ohio</t>
  </si>
  <si>
    <t>Census Tract 3101, Geauga County, Ohio</t>
  </si>
  <si>
    <t>Census Tract 3102, Geauga County, Ohio</t>
  </si>
  <si>
    <t>Census Tract 3106, Geauga County, Ohio</t>
  </si>
  <si>
    <t>Census Tract 3107, Geauga County, Ohio</t>
  </si>
  <si>
    <t>Census Tract 3108, Geauga County, Ohio</t>
  </si>
  <si>
    <t>Census Tract 3109, Geauga County, Ohio</t>
  </si>
  <si>
    <t>Census Tract 3110, Geauga County, Ohio</t>
  </si>
  <si>
    <t>Census Tract 3113, Geauga County, Ohio</t>
  </si>
  <si>
    <t>Census Tract 3114, Geauga County, Ohio</t>
  </si>
  <si>
    <t>Census Tract 3115, Geauga County, Ohio</t>
  </si>
  <si>
    <t>Census Tract 3116, Geauga County, Ohio</t>
  </si>
  <si>
    <t>Census Tract 3117, Geauga County, Ohio</t>
  </si>
  <si>
    <t>Census Tract 3118, Geauga County, Ohio</t>
  </si>
  <si>
    <t>Census Tract 3119, Geauga County, Ohio</t>
  </si>
  <si>
    <t>Census Tract 3120, Geauga County, Ohio</t>
  </si>
  <si>
    <t>Census Tract 3121, Geauga County, Ohio</t>
  </si>
  <si>
    <t>Census Tract 3122.01, Geauga County, Ohio</t>
  </si>
  <si>
    <t>Census Tract 3122.02, Geauga County, Ohio</t>
  </si>
  <si>
    <t>Census Tract 3122.03, Geauga County, Ohio</t>
  </si>
  <si>
    <t>Census Tract 3123, Geauga County, Ohio</t>
  </si>
  <si>
    <t>Census Tract 3124, Geauga County, Ohio</t>
  </si>
  <si>
    <t>Census Tract 2001.01, Greene County, Ohio</t>
  </si>
  <si>
    <t>Census Tract 2001.03, Greene County, Ohio</t>
  </si>
  <si>
    <t>Census Tract 2001.04, Greene County, Ohio</t>
  </si>
  <si>
    <t>Census Tract 2003, Greene County, Ohio</t>
  </si>
  <si>
    <t>Census Tract 2004, Greene County, Ohio</t>
  </si>
  <si>
    <t>Census Tract 2005, Greene County, Ohio</t>
  </si>
  <si>
    <t>Census Tract 2006, Greene County, Ohio</t>
  </si>
  <si>
    <t>Census Tract 2007, Greene County, Ohio</t>
  </si>
  <si>
    <t>Census Tract 2009, Greene County, Ohio</t>
  </si>
  <si>
    <t>Census Tract 2101, Greene County, Ohio</t>
  </si>
  <si>
    <t>Census Tract 2102, Greene County, Ohio</t>
  </si>
  <si>
    <t>Census Tract 2103, Greene County, Ohio</t>
  </si>
  <si>
    <t>Census Tract 2104.01, Greene County, Ohio</t>
  </si>
  <si>
    <t>Census Tract 2104.02, Greene County, Ohio</t>
  </si>
  <si>
    <t>Census Tract 2105, Greene County, Ohio</t>
  </si>
  <si>
    <t>Census Tract 2106.01, Greene County, Ohio</t>
  </si>
  <si>
    <t>Census Tract 2106.02, Greene County, Ohio</t>
  </si>
  <si>
    <t>Census Tract 2106.03, Greene County, Ohio</t>
  </si>
  <si>
    <t>Census Tract 2201, Greene County, Ohio</t>
  </si>
  <si>
    <t>Census Tract 2202, Greene County, Ohio</t>
  </si>
  <si>
    <t>Census Tract 2301, Greene County, Ohio</t>
  </si>
  <si>
    <t>Census Tract 2401, Greene County, Ohio</t>
  </si>
  <si>
    <t>Census Tract 2402, Greene County, Ohio</t>
  </si>
  <si>
    <t>Census Tract 2403.01, Greene County, Ohio</t>
  </si>
  <si>
    <t>Census Tract 2403.02, Greene County, Ohio</t>
  </si>
  <si>
    <t>Census Tract 2405, Greene County, Ohio</t>
  </si>
  <si>
    <t>Census Tract 2406, Greene County, Ohio</t>
  </si>
  <si>
    <t>Census Tract 2407, Greene County, Ohio</t>
  </si>
  <si>
    <t>Census Tract 2550, Greene County, Ohio</t>
  </si>
  <si>
    <t>Census Tract 2601, Greene County, Ohio</t>
  </si>
  <si>
    <t>Census Tract 2701, Greene County, Ohio</t>
  </si>
  <si>
    <t>Census Tract 2801.01, Greene County, Ohio</t>
  </si>
  <si>
    <t>Census Tract 2801.02, Greene County, Ohio</t>
  </si>
  <si>
    <t>Census Tract 2802, Greene County, Ohio</t>
  </si>
  <si>
    <t>Census Tract 2803, Greene County, Ohio</t>
  </si>
  <si>
    <t>Census Tract 9771, Guernsey County, Ohio</t>
  </si>
  <si>
    <t>Census Tract 9772, Guernsey County, Ohio</t>
  </si>
  <si>
    <t>Census Tract 9773, Guernsey County, Ohio</t>
  </si>
  <si>
    <t>Census Tract 9774, Guernsey County, Ohio</t>
  </si>
  <si>
    <t>Census Tract 9775, Guernsey County, Ohio</t>
  </si>
  <si>
    <t>Census Tract 9776, Guernsey County, Ohio</t>
  </si>
  <si>
    <t>Census Tract 9777, Guernsey County, Ohio</t>
  </si>
  <si>
    <t>Census Tract 9778, Guernsey County, Ohio</t>
  </si>
  <si>
    <t>Census Tract 9779, Guernsey County, Ohio</t>
  </si>
  <si>
    <t>Census Tract 9780, Guernsey County, Ohio</t>
  </si>
  <si>
    <t>Census Tract 2, Hamilton County, Ohio</t>
  </si>
  <si>
    <t>Census Tract 7, Hamilton County, Ohio</t>
  </si>
  <si>
    <t>Census Tract 9, Hamilton County, Ohio</t>
  </si>
  <si>
    <t>Census Tract 10, Hamilton County, Ohio</t>
  </si>
  <si>
    <t>Census Tract 11, Hamilton County, Ohio</t>
  </si>
  <si>
    <t>Census Tract 16, Hamilton County, Ohio</t>
  </si>
  <si>
    <t>Census Tract 17, Hamilton County, Ohio</t>
  </si>
  <si>
    <t>Census Tract 18, Hamilton County, Ohio</t>
  </si>
  <si>
    <t>Census Tract 19, Hamilton County, Ohio</t>
  </si>
  <si>
    <t>Census Tract 20, Hamilton County, Ohio</t>
  </si>
  <si>
    <t>Census Tract 22, Hamilton County, Ohio</t>
  </si>
  <si>
    <t>Census Tract 23, Hamilton County, Ohio</t>
  </si>
  <si>
    <t>Census Tract 25, Hamilton County, Ohio</t>
  </si>
  <si>
    <t>Census Tract 26, Hamilton County, Ohio</t>
  </si>
  <si>
    <t>Census Tract 27, Hamilton County, Ohio</t>
  </si>
  <si>
    <t>Census Tract 28, Hamilton County, Ohio</t>
  </si>
  <si>
    <t>Census Tract 29, Hamilton County, Ohio</t>
  </si>
  <si>
    <t>Census Tract 30, Hamilton County, Ohio</t>
  </si>
  <si>
    <t>Census Tract 32, Hamilton County, Ohio</t>
  </si>
  <si>
    <t>Census Tract 33, Hamilton County, Ohio</t>
  </si>
  <si>
    <t>Census Tract 36, Hamilton County, Ohio</t>
  </si>
  <si>
    <t>Census Tract 37, Hamilton County, Ohio</t>
  </si>
  <si>
    <t>Census Tract 38, Hamilton County, Ohio</t>
  </si>
  <si>
    <t>Census Tract 39, Hamilton County, Ohio</t>
  </si>
  <si>
    <t>Census Tract 40, Hamilton County, Ohio</t>
  </si>
  <si>
    <t>Census Tract 41, Hamilton County, Ohio</t>
  </si>
  <si>
    <t>Census Tract 42, Hamilton County, Ohio</t>
  </si>
  <si>
    <t>Census Tract 45, Hamilton County, Ohio</t>
  </si>
  <si>
    <t>Census Tract 46.02, Hamilton County, Ohio</t>
  </si>
  <si>
    <t>Census Tract 46.03, Hamilton County, Ohio</t>
  </si>
  <si>
    <t>Census Tract 46.04, Hamilton County, Ohio</t>
  </si>
  <si>
    <t>Census Tract 46.05, Hamilton County, Ohio</t>
  </si>
  <si>
    <t>Census Tract 47.01, Hamilton County, Ohio</t>
  </si>
  <si>
    <t>Census Tract 47.02, Hamilton County, Ohio</t>
  </si>
  <si>
    <t>Census Tract 48, Hamilton County, Ohio</t>
  </si>
  <si>
    <t>Census Tract 49, Hamilton County, Ohio</t>
  </si>
  <si>
    <t>Census Tract 50, Hamilton County, Ohio</t>
  </si>
  <si>
    <t>Census Tract 51, Hamilton County, Ohio</t>
  </si>
  <si>
    <t>Census Tract 52, Hamilton County, Ohio</t>
  </si>
  <si>
    <t>Census Tract 53.01, Hamilton County, Ohio</t>
  </si>
  <si>
    <t>Census Tract 53.02, Hamilton County, Ohio</t>
  </si>
  <si>
    <t>Census Tract 54, Hamilton County, Ohio</t>
  </si>
  <si>
    <t>Census Tract 55, Hamilton County, Ohio</t>
  </si>
  <si>
    <t>Census Tract 56, Hamilton County, Ohio</t>
  </si>
  <si>
    <t>Census Tract 57.01, Hamilton County, Ohio</t>
  </si>
  <si>
    <t>Census Tract 57.02, Hamilton County, Ohio</t>
  </si>
  <si>
    <t>Census Tract 58, Hamilton County, Ohio</t>
  </si>
  <si>
    <t>Census Tract 59, Hamilton County, Ohio</t>
  </si>
  <si>
    <t>Census Tract 60, Hamilton County, Ohio</t>
  </si>
  <si>
    <t>Census Tract 61, Hamilton County, Ohio</t>
  </si>
  <si>
    <t>Census Tract 63, Hamilton County, Ohio</t>
  </si>
  <si>
    <t>Census Tract 64, Hamilton County, Ohio</t>
  </si>
  <si>
    <t>Census Tract 65, Hamilton County, Ohio</t>
  </si>
  <si>
    <t>Census Tract 66, Hamilton County, Ohio</t>
  </si>
  <si>
    <t>Census Tract 68, Hamilton County, Ohio</t>
  </si>
  <si>
    <t>Census Tract 69, Hamilton County, Ohio</t>
  </si>
  <si>
    <t>Census Tract 70, Hamilton County, Ohio</t>
  </si>
  <si>
    <t>Census Tract 71, Hamilton County, Ohio</t>
  </si>
  <si>
    <t>Census Tract 72, Hamilton County, Ohio</t>
  </si>
  <si>
    <t>Census Tract 73, Hamilton County, Ohio</t>
  </si>
  <si>
    <t>Census Tract 74, Hamilton County, Ohio</t>
  </si>
  <si>
    <t>Census Tract 75, Hamilton County, Ohio</t>
  </si>
  <si>
    <t>Census Tract 77, Hamilton County, Ohio</t>
  </si>
  <si>
    <t>Census Tract 78, Hamilton County, Ohio</t>
  </si>
  <si>
    <t>Census Tract 79, Hamilton County, Ohio</t>
  </si>
  <si>
    <t>Census Tract 80, Hamilton County, Ohio</t>
  </si>
  <si>
    <t>Census Tract 81, Hamilton County, Ohio</t>
  </si>
  <si>
    <t>Census Tract 82.01, Hamilton County, Ohio</t>
  </si>
  <si>
    <t>Census Tract 82.02, Hamilton County, Ohio</t>
  </si>
  <si>
    <t>Census Tract 83, Hamilton County, Ohio</t>
  </si>
  <si>
    <t>Census Tract 84, Hamilton County, Ohio</t>
  </si>
  <si>
    <t>Census Tract 85.01, Hamilton County, Ohio</t>
  </si>
  <si>
    <t>Census Tract 85.02, Hamilton County, Ohio</t>
  </si>
  <si>
    <t>Census Tract 86.01, Hamilton County, Ohio</t>
  </si>
  <si>
    <t>Census Tract 88, Hamilton County, Ohio</t>
  </si>
  <si>
    <t>Census Tract 92, Hamilton County, Ohio</t>
  </si>
  <si>
    <t>Census Tract 93, Hamilton County, Ohio</t>
  </si>
  <si>
    <t>Census Tract 94, Hamilton County, Ohio</t>
  </si>
  <si>
    <t>Census Tract 95, Hamilton County, Ohio</t>
  </si>
  <si>
    <t>Census Tract 96, Hamilton County, Ohio</t>
  </si>
  <si>
    <t>Census Tract 97, Hamilton County, Ohio</t>
  </si>
  <si>
    <t>Census Tract 98, Hamilton County, Ohio</t>
  </si>
  <si>
    <t>Census Tract 99.01, Hamilton County, Ohio</t>
  </si>
  <si>
    <t>Census Tract 99.02, Hamilton County, Ohio</t>
  </si>
  <si>
    <t>Census Tract 100.02, Hamilton County, Ohio</t>
  </si>
  <si>
    <t>Census Tract 100.03, Hamilton County, Ohio</t>
  </si>
  <si>
    <t>Census Tract 100.04, Hamilton County, Ohio</t>
  </si>
  <si>
    <t>Census Tract 100.05, Hamilton County, Ohio</t>
  </si>
  <si>
    <t>Census Tract 101, Hamilton County, Ohio</t>
  </si>
  <si>
    <t>Census Tract 102.01, Hamilton County, Ohio</t>
  </si>
  <si>
    <t>Census Tract 102.02, Hamilton County, Ohio</t>
  </si>
  <si>
    <t>Census Tract 103, Hamilton County, Ohio</t>
  </si>
  <si>
    <t>Census Tract 104, Hamilton County, Ohio</t>
  </si>
  <si>
    <t>Census Tract 105, Hamilton County, Ohio</t>
  </si>
  <si>
    <t>Census Tract 106, Hamilton County, Ohio</t>
  </si>
  <si>
    <t>Census Tract 107, Hamilton County, Ohio</t>
  </si>
  <si>
    <t>Census Tract 108, Hamilton County, Ohio</t>
  </si>
  <si>
    <t>Census Tract 109, Hamilton County, Ohio</t>
  </si>
  <si>
    <t>Census Tract 110, Hamilton County, Ohio</t>
  </si>
  <si>
    <t>Census Tract 111, Hamilton County, Ohio</t>
  </si>
  <si>
    <t>Census Tract 204.01, Hamilton County, Ohio</t>
  </si>
  <si>
    <t>Census Tract 204.03, Hamilton County, Ohio</t>
  </si>
  <si>
    <t>Census Tract 204.04, Hamilton County, Ohio</t>
  </si>
  <si>
    <t>Census Tract 205.01, Hamilton County, Ohio</t>
  </si>
  <si>
    <t>Census Tract 205.02, Hamilton County, Ohio</t>
  </si>
  <si>
    <t>Census Tract 205.04, Hamilton County, Ohio</t>
  </si>
  <si>
    <t>Census Tract 205.05, Hamilton County, Ohio</t>
  </si>
  <si>
    <t>Census Tract 206.01, Hamilton County, Ohio</t>
  </si>
  <si>
    <t>Census Tract 206.02, Hamilton County, Ohio</t>
  </si>
  <si>
    <t>Census Tract 207.01, Hamilton County, Ohio</t>
  </si>
  <si>
    <t>Census Tract 207.05, Hamilton County, Ohio</t>
  </si>
  <si>
    <t>Census Tract 207.07, Hamilton County, Ohio</t>
  </si>
  <si>
    <t>Census Tract 207.41, Hamilton County, Ohio</t>
  </si>
  <si>
    <t>Census Tract 207.42, Hamilton County, Ohio</t>
  </si>
  <si>
    <t>Census Tract 207.61, Hamilton County, Ohio</t>
  </si>
  <si>
    <t>Census Tract 207.62, Hamilton County, Ohio</t>
  </si>
  <si>
    <t>Census Tract 208.02, Hamilton County, Ohio</t>
  </si>
  <si>
    <t>Census Tract 208.11, Hamilton County, Ohio</t>
  </si>
  <si>
    <t>Census Tract 208.12, Hamilton County, Ohio</t>
  </si>
  <si>
    <t>Census Tract 209.01, Hamilton County, Ohio</t>
  </si>
  <si>
    <t>Census Tract 209.02, Hamilton County, Ohio</t>
  </si>
  <si>
    <t>Census Tract 210.01, Hamilton County, Ohio</t>
  </si>
  <si>
    <t>Census Tract 210.02, Hamilton County, Ohio</t>
  </si>
  <si>
    <t>Census Tract 210.03, Hamilton County, Ohio</t>
  </si>
  <si>
    <t>Census Tract 211.01, Hamilton County, Ohio</t>
  </si>
  <si>
    <t>Census Tract 211.02, Hamilton County, Ohio</t>
  </si>
  <si>
    <t>Census Tract 212.01, Hamilton County, Ohio</t>
  </si>
  <si>
    <t>Census Tract 212.02, Hamilton County, Ohio</t>
  </si>
  <si>
    <t>Census Tract 213.02, Hamilton County, Ohio</t>
  </si>
  <si>
    <t>Census Tract 213.03, Hamilton County, Ohio</t>
  </si>
  <si>
    <t>Census Tract 213.04, Hamilton County, Ohio</t>
  </si>
  <si>
    <t>Census Tract 214.01, Hamilton County, Ohio</t>
  </si>
  <si>
    <t>Census Tract 214.21, Hamilton County, Ohio</t>
  </si>
  <si>
    <t>Census Tract 214.22, Hamilton County, Ohio</t>
  </si>
  <si>
    <t>Census Tract 215.01, Hamilton County, Ohio</t>
  </si>
  <si>
    <t>Census Tract 215.04, Hamilton County, Ohio</t>
  </si>
  <si>
    <t>Census Tract 215.05, Hamilton County, Ohio</t>
  </si>
  <si>
    <t>Census Tract 215.06, Hamilton County, Ohio</t>
  </si>
  <si>
    <t>Census Tract 215.08, Hamilton County, Ohio</t>
  </si>
  <si>
    <t>Census Tract 215.09, Hamilton County, Ohio</t>
  </si>
  <si>
    <t>Census Tract 215.71, Hamilton County, Ohio</t>
  </si>
  <si>
    <t>Census Tract 215.72, Hamilton County, Ohio</t>
  </si>
  <si>
    <t>Census Tract 216.02, Hamilton County, Ohio</t>
  </si>
  <si>
    <t>Census Tract 216.03, Hamilton County, Ohio</t>
  </si>
  <si>
    <t>Census Tract 216.04, Hamilton County, Ohio</t>
  </si>
  <si>
    <t>Census Tract 217.01, Hamilton County, Ohio</t>
  </si>
  <si>
    <t>Census Tract 217.02, Hamilton County, Ohio</t>
  </si>
  <si>
    <t>Census Tract 218.01, Hamilton County, Ohio</t>
  </si>
  <si>
    <t>Census Tract 218.02, Hamilton County, Ohio</t>
  </si>
  <si>
    <t>Census Tract 219, Hamilton County, Ohio</t>
  </si>
  <si>
    <t>Census Tract 220, Hamilton County, Ohio</t>
  </si>
  <si>
    <t>Census Tract 221.01, Hamilton County, Ohio</t>
  </si>
  <si>
    <t>Census Tract 221.02, Hamilton County, Ohio</t>
  </si>
  <si>
    <t>Census Tract 222, Hamilton County, Ohio</t>
  </si>
  <si>
    <t>Census Tract 223.01, Hamilton County, Ohio</t>
  </si>
  <si>
    <t>Census Tract 223.02, Hamilton County, Ohio</t>
  </si>
  <si>
    <t>Census Tract 224, Hamilton County, Ohio</t>
  </si>
  <si>
    <t>Census Tract 225, Hamilton County, Ohio</t>
  </si>
  <si>
    <t>Census Tract 226.01, Hamilton County, Ohio</t>
  </si>
  <si>
    <t>Census Tract 226.02, Hamilton County, Ohio</t>
  </si>
  <si>
    <t>Census Tract 227, Hamilton County, Ohio</t>
  </si>
  <si>
    <t>Census Tract 230.01, Hamilton County, Ohio</t>
  </si>
  <si>
    <t>Census Tract 230.02, Hamilton County, Ohio</t>
  </si>
  <si>
    <t>Census Tract 231, Hamilton County, Ohio</t>
  </si>
  <si>
    <t>Census Tract 232.01, Hamilton County, Ohio</t>
  </si>
  <si>
    <t>Census Tract 232.10, Hamilton County, Ohio</t>
  </si>
  <si>
    <t>Census Tract 232.22, Hamilton County, Ohio</t>
  </si>
  <si>
    <t>Census Tract 233, Hamilton County, Ohio</t>
  </si>
  <si>
    <t>Census Tract 234, Hamilton County, Ohio</t>
  </si>
  <si>
    <t>Census Tract 235.01, Hamilton County, Ohio</t>
  </si>
  <si>
    <t>Census Tract 235.21, Hamilton County, Ohio</t>
  </si>
  <si>
    <t>Census Tract 235.22, Hamilton County, Ohio</t>
  </si>
  <si>
    <t>Census Tract 236, Hamilton County, Ohio</t>
  </si>
  <si>
    <t>Census Tract 237.01, Hamilton County, Ohio</t>
  </si>
  <si>
    <t>Census Tract 237.02, Hamilton County, Ohio</t>
  </si>
  <si>
    <t>Census Tract 238, Hamilton County, Ohio</t>
  </si>
  <si>
    <t>Census Tract 239.01, Hamilton County, Ohio</t>
  </si>
  <si>
    <t>Census Tract 239.02, Hamilton County, Ohio</t>
  </si>
  <si>
    <t>Census Tract 240.01, Hamilton County, Ohio</t>
  </si>
  <si>
    <t>Census Tract 240.02, Hamilton County, Ohio</t>
  </si>
  <si>
    <t>Census Tract 241, Hamilton County, Ohio</t>
  </si>
  <si>
    <t>Census Tract 242, Hamilton County, Ohio</t>
  </si>
  <si>
    <t>Census Tract 243.01, Hamilton County, Ohio</t>
  </si>
  <si>
    <t>Census Tract 243.03, Hamilton County, Ohio</t>
  </si>
  <si>
    <t>Census Tract 243.21, Hamilton County, Ohio</t>
  </si>
  <si>
    <t>Census Tract 243.22, Hamilton County, Ohio</t>
  </si>
  <si>
    <t>Census Tract 244, Hamilton County, Ohio</t>
  </si>
  <si>
    <t>Census Tract 247, Hamilton County, Ohio</t>
  </si>
  <si>
    <t>Census Tract 248, Hamilton County, Ohio</t>
  </si>
  <si>
    <t>Census Tract 249.01, Hamilton County, Ohio</t>
  </si>
  <si>
    <t>Census Tract 249.02, Hamilton County, Ohio</t>
  </si>
  <si>
    <t>Census Tract 250.01, Hamilton County, Ohio</t>
  </si>
  <si>
    <t>Census Tract 250.02, Hamilton County, Ohio</t>
  </si>
  <si>
    <t>Census Tract 251.01, Hamilton County, Ohio</t>
  </si>
  <si>
    <t>Census Tract 251.02, Hamilton County, Ohio</t>
  </si>
  <si>
    <t>Census Tract 251.03, Hamilton County, Ohio</t>
  </si>
  <si>
    <t>Census Tract 251.04, Hamilton County, Ohio</t>
  </si>
  <si>
    <t>Census Tract 252, Hamilton County, Ohio</t>
  </si>
  <si>
    <t>Census Tract 253, Hamilton County, Ohio</t>
  </si>
  <si>
    <t>Census Tract 254.01, Hamilton County, Ohio</t>
  </si>
  <si>
    <t>Census Tract 254.02, Hamilton County, Ohio</t>
  </si>
  <si>
    <t>Census Tract 255, Hamilton County, Ohio</t>
  </si>
  <si>
    <t>Census Tract 256, Hamilton County, Ohio</t>
  </si>
  <si>
    <t>Census Tract 257, Hamilton County, Ohio</t>
  </si>
  <si>
    <t>Census Tract 258, Hamilton County, Ohio</t>
  </si>
  <si>
    <t>Census Tract 260.01, Hamilton County, Ohio</t>
  </si>
  <si>
    <t>Census Tract 260.02, Hamilton County, Ohio</t>
  </si>
  <si>
    <t>Census Tract 261.01, Hamilton County, Ohio</t>
  </si>
  <si>
    <t>Census Tract 261.02, Hamilton County, Ohio</t>
  </si>
  <si>
    <t>Census Tract 262, Hamilton County, Ohio</t>
  </si>
  <si>
    <t>Census Tract 263, Hamilton County, Ohio</t>
  </si>
  <si>
    <t>Census Tract 264, Hamilton County, Ohio</t>
  </si>
  <si>
    <t>Census Tract 265, Hamilton County, Ohio</t>
  </si>
  <si>
    <t>Census Tract 266, Hamilton County, Ohio</t>
  </si>
  <si>
    <t>Census Tract 267, Hamilton County, Ohio</t>
  </si>
  <si>
    <t>Census Tract 268, Hamilton County, Ohio</t>
  </si>
  <si>
    <t>Census Tract 269, Hamilton County, Ohio</t>
  </si>
  <si>
    <t>Census Tract 270, Hamilton County, Ohio</t>
  </si>
  <si>
    <t>Census Tract 271, Hamilton County, Ohio</t>
  </si>
  <si>
    <t>Census Tract 272, Hamilton County, Ohio</t>
  </si>
  <si>
    <t>Census Tract 273, Hamilton County, Ohio</t>
  </si>
  <si>
    <t>Census Tract 274, Hamilton County, Ohio</t>
  </si>
  <si>
    <t>Census Tract 1, Hancock County, Ohio</t>
  </si>
  <si>
    <t>Census Tract 2, Hancock County, Ohio</t>
  </si>
  <si>
    <t>Census Tract 3, Hancock County, Ohio</t>
  </si>
  <si>
    <t>Census Tract 4, Hancock County, Ohio</t>
  </si>
  <si>
    <t>Census Tract 5, Hancock County, Ohio</t>
  </si>
  <si>
    <t>Census Tract 6, Hancock County, Ohio</t>
  </si>
  <si>
    <t>Census Tract 7, Hancock County, Ohio</t>
  </si>
  <si>
    <t>Census Tract 8, Hancock County, Ohio</t>
  </si>
  <si>
    <t>Census Tract 9, Hancock County, Ohio</t>
  </si>
  <si>
    <t>Census Tract 10, Hancock County, Ohio</t>
  </si>
  <si>
    <t>Census Tract 11, Hancock County, Ohio</t>
  </si>
  <si>
    <t>Census Tract 12, Hancock County, Ohio</t>
  </si>
  <si>
    <t>Census Tract 13, Hancock County, Ohio</t>
  </si>
  <si>
    <t>Census Tract 1, Hardin County, Ohio</t>
  </si>
  <si>
    <t>Census Tract 2, Hardin County, Ohio</t>
  </si>
  <si>
    <t>Census Tract 3, Hardin County, Ohio</t>
  </si>
  <si>
    <t>Census Tract 4, Hardin County, Ohio</t>
  </si>
  <si>
    <t>Census Tract 5, Hardin County, Ohio</t>
  </si>
  <si>
    <t>Census Tract 6, Hardin County, Ohio</t>
  </si>
  <si>
    <t>Census Tract 7, Hardin County, Ohio</t>
  </si>
  <si>
    <t>Census Tract 9756, Harrison County, Ohio</t>
  </si>
  <si>
    <t>Census Tract 9757, Harrison County, Ohio</t>
  </si>
  <si>
    <t>Census Tract 9758, Harrison County, Ohio</t>
  </si>
  <si>
    <t>Census Tract 9759, Harrison County, Ohio</t>
  </si>
  <si>
    <t>Census Tract 9760, Harrison County, Ohio</t>
  </si>
  <si>
    <t>Census Tract 1, Henry County, Ohio</t>
  </si>
  <si>
    <t>Census Tract 2, Henry County, Ohio</t>
  </si>
  <si>
    <t>Census Tract 3, Henry County, Ohio</t>
  </si>
  <si>
    <t>Census Tract 4, Henry County, Ohio</t>
  </si>
  <si>
    <t>Census Tract 5, Henry County, Ohio</t>
  </si>
  <si>
    <t>Census Tract 6, Henry County, Ohio</t>
  </si>
  <si>
    <t>Census Tract 7, Henry County, Ohio</t>
  </si>
  <si>
    <t>Census Tract 9544, Highland County, Ohio</t>
  </si>
  <si>
    <t>Census Tract 9545, Highland County, Ohio</t>
  </si>
  <si>
    <t>Census Tract 9546, Highland County, Ohio</t>
  </si>
  <si>
    <t>Census Tract 9547, Highland County, Ohio</t>
  </si>
  <si>
    <t>Census Tract 9548, Highland County, Ohio</t>
  </si>
  <si>
    <t>Census Tract 9549, Highland County, Ohio</t>
  </si>
  <si>
    <t>Census Tract 9550, Highland County, Ohio</t>
  </si>
  <si>
    <t>Census Tract 9551, Highland County, Ohio</t>
  </si>
  <si>
    <t>Census Tract 9552, Highland County, Ohio</t>
  </si>
  <si>
    <t>Census Tract 9649, Hocking County, Ohio</t>
  </si>
  <si>
    <t>Census Tract 9650, Hocking County, Ohio</t>
  </si>
  <si>
    <t>Census Tract 9651, Hocking County, Ohio</t>
  </si>
  <si>
    <t>Census Tract 9652, Hocking County, Ohio</t>
  </si>
  <si>
    <t>Census Tract 9653, Hocking County, Ohio</t>
  </si>
  <si>
    <t>Census Tract 9654, Hocking County, Ohio</t>
  </si>
  <si>
    <t>Census Tract 9655, Hocking County, Ohio</t>
  </si>
  <si>
    <t>Census Tract 9763.01, Holmes County, Ohio</t>
  </si>
  <si>
    <t>Census Tract 9763.02, Holmes County, Ohio</t>
  </si>
  <si>
    <t>Census Tract 9764, Holmes County, Ohio</t>
  </si>
  <si>
    <t>Census Tract 9765, Holmes County, Ohio</t>
  </si>
  <si>
    <t>Census Tract 9766, Holmes County, Ohio</t>
  </si>
  <si>
    <t>Census Tract 9767, Holmes County, Ohio</t>
  </si>
  <si>
    <t>Census Tract 9768.01, Holmes County, Ohio</t>
  </si>
  <si>
    <t>Census Tract 9768.02, Holmes County, Ohio</t>
  </si>
  <si>
    <t>Census Tract 9154, Huron County, Ohio</t>
  </si>
  <si>
    <t>Census Tract 9155, Huron County, Ohio</t>
  </si>
  <si>
    <t>Census Tract 9156, Huron County, Ohio</t>
  </si>
  <si>
    <t>Census Tract 9157, Huron County, Ohio</t>
  </si>
  <si>
    <t>Census Tract 9158, Huron County, Ohio</t>
  </si>
  <si>
    <t>Census Tract 9159, Huron County, Ohio</t>
  </si>
  <si>
    <t>Census Tract 9160, Huron County, Ohio</t>
  </si>
  <si>
    <t>Census Tract 9161, Huron County, Ohio</t>
  </si>
  <si>
    <t>Census Tract 9162, Huron County, Ohio</t>
  </si>
  <si>
    <t>Census Tract 9163, Huron County, Ohio</t>
  </si>
  <si>
    <t>Census Tract 9164, Huron County, Ohio</t>
  </si>
  <si>
    <t>Census Tract 9165, Huron County, Ohio</t>
  </si>
  <si>
    <t>Census Tract 9166, Huron County, Ohio</t>
  </si>
  <si>
    <t>Census Tract 9572, Jackson County, Ohio</t>
  </si>
  <si>
    <t>Census Tract 9573, Jackson County, Ohio</t>
  </si>
  <si>
    <t>Census Tract 9574, Jackson County, Ohio</t>
  </si>
  <si>
    <t>Census Tract 9575, Jackson County, Ohio</t>
  </si>
  <si>
    <t>Census Tract 9576, Jackson County, Ohio</t>
  </si>
  <si>
    <t>Census Tract 9577, Jackson County, Ohio</t>
  </si>
  <si>
    <t>Census Tract 9578, Jackson County, Ohio</t>
  </si>
  <si>
    <t>Census Tract 2, Jefferson County, Ohio</t>
  </si>
  <si>
    <t>Census Tract 4, Jefferson County, Ohio</t>
  </si>
  <si>
    <t>Census Tract 6, Jefferson County, Ohio</t>
  </si>
  <si>
    <t>Census Tract 8, Jefferson County, Ohio</t>
  </si>
  <si>
    <t>Census Tract 10, Jefferson County, Ohio</t>
  </si>
  <si>
    <t>Census Tract 12, Jefferson County, Ohio</t>
  </si>
  <si>
    <t>Census Tract 13, Jefferson County, Ohio</t>
  </si>
  <si>
    <t>Census Tract 14, Jefferson County, Ohio</t>
  </si>
  <si>
    <t>Census Tract 17, Jefferson County, Ohio</t>
  </si>
  <si>
    <t>Census Tract 110, Jefferson County, Ohio</t>
  </si>
  <si>
    <t>Census Tract 111, Jefferson County, Ohio</t>
  </si>
  <si>
    <t>Census Tract 112, Jefferson County, Ohio</t>
  </si>
  <si>
    <t>Census Tract 113, Jefferson County, Ohio</t>
  </si>
  <si>
    <t>Census Tract 114.01, Jefferson County, Ohio</t>
  </si>
  <si>
    <t>Census Tract 114.02, Jefferson County, Ohio</t>
  </si>
  <si>
    <t>Census Tract 115, Jefferson County, Ohio</t>
  </si>
  <si>
    <t>Census Tract 117, Jefferson County, Ohio</t>
  </si>
  <si>
    <t>Census Tract 118, Jefferson County, Ohio</t>
  </si>
  <si>
    <t>Census Tract 119, Jefferson County, Ohio</t>
  </si>
  <si>
    <t>Census Tract 120, Jefferson County, Ohio</t>
  </si>
  <si>
    <t>Census Tract 121, Jefferson County, Ohio</t>
  </si>
  <si>
    <t>Census Tract 122, Jefferson County, Ohio</t>
  </si>
  <si>
    <t>Census Tract 123, Jefferson County, Ohio</t>
  </si>
  <si>
    <t>Census Tract 2001, Lake County, Ohio</t>
  </si>
  <si>
    <t>Census Tract 2002, Lake County, Ohio</t>
  </si>
  <si>
    <t>Census Tract 2003, Lake County, Ohio</t>
  </si>
  <si>
    <t>Census Tract 2004, Lake County, Ohio</t>
  </si>
  <si>
    <t>Census Tract 2005, Lake County, Ohio</t>
  </si>
  <si>
    <t>Census Tract 2006, Lake County, Ohio</t>
  </si>
  <si>
    <t>Census Tract 2007, Lake County, Ohio</t>
  </si>
  <si>
    <t>Census Tract 2008, Lake County, Ohio</t>
  </si>
  <si>
    <t>Census Tract 2009, Lake County, Ohio</t>
  </si>
  <si>
    <t>Census Tract 2010, Lake County, Ohio</t>
  </si>
  <si>
    <t>Census Tract 2011, Lake County, Ohio</t>
  </si>
  <si>
    <t>Census Tract 2012, Lake County, Ohio</t>
  </si>
  <si>
    <t>Census Tract 2013, Lake County, Ohio</t>
  </si>
  <si>
    <t>Census Tract 2014, Lake County, Ohio</t>
  </si>
  <si>
    <t>Census Tract 2015, Lake County, Ohio</t>
  </si>
  <si>
    <t>Census Tract 2016, Lake County, Ohio</t>
  </si>
  <si>
    <t>Census Tract 2017, Lake County, Ohio</t>
  </si>
  <si>
    <t>Census Tract 2018, Lake County, Ohio</t>
  </si>
  <si>
    <t>Census Tract 2019, Lake County, Ohio</t>
  </si>
  <si>
    <t>Census Tract 2020, Lake County, Ohio</t>
  </si>
  <si>
    <t>Census Tract 2021, Lake County, Ohio</t>
  </si>
  <si>
    <t>Census Tract 2024, Lake County, Ohio</t>
  </si>
  <si>
    <t>Census Tract 2025, Lake County, Ohio</t>
  </si>
  <si>
    <t>Census Tract 2026, Lake County, Ohio</t>
  </si>
  <si>
    <t>Census Tract 2027, Lake County, Ohio</t>
  </si>
  <si>
    <t>Census Tract 2028, Lake County, Ohio</t>
  </si>
  <si>
    <t>Census Tract 2029, Lake County, Ohio</t>
  </si>
  <si>
    <t>Census Tract 2030, Lake County, Ohio</t>
  </si>
  <si>
    <t>Census Tract 2032, Lake County, Ohio</t>
  </si>
  <si>
    <t>Census Tract 2034, Lake County, Ohio</t>
  </si>
  <si>
    <t>Census Tract 2035, Lake County, Ohio</t>
  </si>
  <si>
    <t>Census Tract 2037, Lake County, Ohio</t>
  </si>
  <si>
    <t>Census Tract 2040, Lake County, Ohio</t>
  </si>
  <si>
    <t>Census Tract 2042, Lake County, Ohio</t>
  </si>
  <si>
    <t>Census Tract 2043.01, Lake County, Ohio</t>
  </si>
  <si>
    <t>Census Tract 2043.02, Lake County, Ohio</t>
  </si>
  <si>
    <t>Census Tract 2044, Lake County, Ohio</t>
  </si>
  <si>
    <t>Census Tract 2045, Lake County, Ohio</t>
  </si>
  <si>
    <t>Census Tract 2047, Lake County, Ohio</t>
  </si>
  <si>
    <t>Census Tract 2048, Lake County, Ohio</t>
  </si>
  <si>
    <t>Census Tract 2049, Lake County, Ohio</t>
  </si>
  <si>
    <t>Census Tract 2050.01, Lake County, Ohio</t>
  </si>
  <si>
    <t>Census Tract 2050.02, Lake County, Ohio</t>
  </si>
  <si>
    <t>Census Tract 2051, Lake County, Ohio</t>
  </si>
  <si>
    <t>Census Tract 2052, Lake County, Ohio</t>
  </si>
  <si>
    <t>Census Tract 2053, Lake County, Ohio</t>
  </si>
  <si>
    <t>Census Tract 2054, Lake County, Ohio</t>
  </si>
  <si>
    <t>Census Tract 2057.01, Lake County, Ohio</t>
  </si>
  <si>
    <t>Census Tract 2057.02, Lake County, Ohio</t>
  </si>
  <si>
    <t>Census Tract 2058, Lake County, Ohio</t>
  </si>
  <si>
    <t>Census Tract 2059, Lake County, Ohio</t>
  </si>
  <si>
    <t>Census Tract 2060, Lake County, Ohio</t>
  </si>
  <si>
    <t>Census Tract 2061, Lake County, Ohio</t>
  </si>
  <si>
    <t>Census Tract 2062, Lake County, Ohio</t>
  </si>
  <si>
    <t>Census Tract 2063, Lake County, Ohio</t>
  </si>
  <si>
    <t>Census Tract 2064, Lake County, Ohio</t>
  </si>
  <si>
    <t>Census Tract 2065, Lake County, Ohio</t>
  </si>
  <si>
    <t>Census Tract 2066, Lake County, Ohio</t>
  </si>
  <si>
    <t>Census Tract 501, Lawrence County, Ohio</t>
  </si>
  <si>
    <t>Census Tract 502, Lawrence County, Ohio</t>
  </si>
  <si>
    <t>Census Tract 503, Lawrence County, Ohio</t>
  </si>
  <si>
    <t>Census Tract 504, Lawrence County, Ohio</t>
  </si>
  <si>
    <t>Census Tract 505, Lawrence County, Ohio</t>
  </si>
  <si>
    <t>Census Tract 506, Lawrence County, Ohio</t>
  </si>
  <si>
    <t>Census Tract 507, Lawrence County, Ohio</t>
  </si>
  <si>
    <t>Census Tract 508, Lawrence County, Ohio</t>
  </si>
  <si>
    <t>Census Tract 509, Lawrence County, Ohio</t>
  </si>
  <si>
    <t>Census Tract 510.01, Lawrence County, Ohio</t>
  </si>
  <si>
    <t>Census Tract 510.02, Lawrence County, Ohio</t>
  </si>
  <si>
    <t>Census Tract 511, Lawrence County, Ohio</t>
  </si>
  <si>
    <t>Census Tract 512, Lawrence County, Ohio</t>
  </si>
  <si>
    <t>Census Tract 513, Lawrence County, Ohio</t>
  </si>
  <si>
    <t>Census Tract 514.01, Lawrence County, Ohio</t>
  </si>
  <si>
    <t>Census Tract 514.02, Lawrence County, Ohio</t>
  </si>
  <si>
    <t>Census Tract 7507, Licking County, Ohio</t>
  </si>
  <si>
    <t>Census Tract 7510, Licking County, Ohio</t>
  </si>
  <si>
    <t>Census Tract 7513, Licking County, Ohio</t>
  </si>
  <si>
    <t>Census Tract 7516, Licking County, Ohio</t>
  </si>
  <si>
    <t>Census Tract 7519, Licking County, Ohio</t>
  </si>
  <si>
    <t>Census Tract 7522, Licking County, Ohio</t>
  </si>
  <si>
    <t>Census Tract 7525, Licking County, Ohio</t>
  </si>
  <si>
    <t>Census Tract 7528, Licking County, Ohio</t>
  </si>
  <si>
    <t>Census Tract 7531, Licking County, Ohio</t>
  </si>
  <si>
    <t>Census Tract 7533, Licking County, Ohio</t>
  </si>
  <si>
    <t>Census Tract 7536, Licking County, Ohio</t>
  </si>
  <si>
    <t>Census Tract 7539, Licking County, Ohio</t>
  </si>
  <si>
    <t>Census Tract 7541.01, Licking County, Ohio</t>
  </si>
  <si>
    <t>Census Tract 7541.02, Licking County, Ohio</t>
  </si>
  <si>
    <t>Census Tract 7544, Licking County, Ohio</t>
  </si>
  <si>
    <t>Census Tract 7547, Licking County, Ohio</t>
  </si>
  <si>
    <t>Census Tract 7550, Licking County, Ohio</t>
  </si>
  <si>
    <t>Census Tract 7553, Licking County, Ohio</t>
  </si>
  <si>
    <t>Census Tract 7556, Licking County, Ohio</t>
  </si>
  <si>
    <t>Census Tract 7559, Licking County, Ohio</t>
  </si>
  <si>
    <t>Census Tract 7562.01, Licking County, Ohio</t>
  </si>
  <si>
    <t>Census Tract 7562.02, Licking County, Ohio</t>
  </si>
  <si>
    <t>Census Tract 7565, Licking County, Ohio</t>
  </si>
  <si>
    <t>Census Tract 7568, Licking County, Ohio</t>
  </si>
  <si>
    <t>Census Tract 7571, Licking County, Ohio</t>
  </si>
  <si>
    <t>Census Tract 7574, Licking County, Ohio</t>
  </si>
  <si>
    <t>Census Tract 7577, Licking County, Ohio</t>
  </si>
  <si>
    <t>Census Tract 7583, Licking County, Ohio</t>
  </si>
  <si>
    <t>Census Tract 7586, Licking County, Ohio</t>
  </si>
  <si>
    <t>Census Tract 7589, Licking County, Ohio</t>
  </si>
  <si>
    <t>Census Tract 7590, Licking County, Ohio</t>
  </si>
  <si>
    <t>Census Tract 7591, Licking County, Ohio</t>
  </si>
  <si>
    <t>Census Tract 38, Logan County, Ohio</t>
  </si>
  <si>
    <t>Census Tract 39, Logan County, Ohio</t>
  </si>
  <si>
    <t>Census Tract 40, Logan County, Ohio</t>
  </si>
  <si>
    <t>Census Tract 41, Logan County, Ohio</t>
  </si>
  <si>
    <t>Census Tract 42, Logan County, Ohio</t>
  </si>
  <si>
    <t>Census Tract 43, Logan County, Ohio</t>
  </si>
  <si>
    <t>Census Tract 44, Logan County, Ohio</t>
  </si>
  <si>
    <t>Census Tract 45, Logan County, Ohio</t>
  </si>
  <si>
    <t>Census Tract 46, Logan County, Ohio</t>
  </si>
  <si>
    <t>Census Tract 47, Logan County, Ohio</t>
  </si>
  <si>
    <t>Census Tract 48, Logan County, Ohio</t>
  </si>
  <si>
    <t>Census Tract 102, Lorain County, Ohio</t>
  </si>
  <si>
    <t>Census Tract 103, Lorain County, Ohio</t>
  </si>
  <si>
    <t>Census Tract 104, Lorain County, Ohio</t>
  </si>
  <si>
    <t>Census Tract 131, Lorain County, Ohio</t>
  </si>
  <si>
    <t>Census Tract 132, Lorain County, Ohio</t>
  </si>
  <si>
    <t>Census Tract 211, Lorain County, Ohio</t>
  </si>
  <si>
    <t>Census Tract 212, Lorain County, Ohio</t>
  </si>
  <si>
    <t>Census Tract 221, Lorain County, Ohio</t>
  </si>
  <si>
    <t>Census Tract 222, Lorain County, Ohio</t>
  </si>
  <si>
    <t>Census Tract 224, Lorain County, Ohio</t>
  </si>
  <si>
    <t>Census Tract 225, Lorain County, Ohio</t>
  </si>
  <si>
    <t>Census Tract 226.01, Lorain County, Ohio</t>
  </si>
  <si>
    <t>Census Tract 228, Lorain County, Ohio</t>
  </si>
  <si>
    <t>Census Tract 230, Lorain County, Ohio</t>
  </si>
  <si>
    <t>Census Tract 231, Lorain County, Ohio</t>
  </si>
  <si>
    <t>Census Tract 232, Lorain County, Ohio</t>
  </si>
  <si>
    <t>Census Tract 233, Lorain County, Ohio</t>
  </si>
  <si>
    <t>Census Tract 234, Lorain County, Ohio</t>
  </si>
  <si>
    <t>Census Tract 235, Lorain County, Ohio</t>
  </si>
  <si>
    <t>Census Tract 236, Lorain County, Ohio</t>
  </si>
  <si>
    <t>Census Tract 237, Lorain County, Ohio</t>
  </si>
  <si>
    <t>Census Tract 238, Lorain County, Ohio</t>
  </si>
  <si>
    <t>Census Tract 239, Lorain County, Ohio</t>
  </si>
  <si>
    <t>Census Tract 240, Lorain County, Ohio</t>
  </si>
  <si>
    <t>Census Tract 241, Lorain County, Ohio</t>
  </si>
  <si>
    <t>Census Tract 242, Lorain County, Ohio</t>
  </si>
  <si>
    <t>Census Tract 281, Lorain County, Ohio</t>
  </si>
  <si>
    <t>Census Tract 301, Lorain County, Ohio</t>
  </si>
  <si>
    <t>Census Tract 501, Lorain County, Ohio</t>
  </si>
  <si>
    <t>Census Tract 502, Lorain County, Ohio</t>
  </si>
  <si>
    <t>Census Tract 503, Lorain County, Ohio</t>
  </si>
  <si>
    <t>Census Tract 504, Lorain County, Ohio</t>
  </si>
  <si>
    <t>Census Tract 571, Lorain County, Ohio</t>
  </si>
  <si>
    <t>Census Tract 601, Lorain County, Ohio</t>
  </si>
  <si>
    <t>Census Tract 602, Lorain County, Ohio</t>
  </si>
  <si>
    <t>Census Tract 701.01, Lorain County, Ohio</t>
  </si>
  <si>
    <t>Census Tract 701.02, Lorain County, Ohio</t>
  </si>
  <si>
    <t>Census Tract 702, Lorain County, Ohio</t>
  </si>
  <si>
    <t>Census Tract 703, Lorain County, Ohio</t>
  </si>
  <si>
    <t>Census Tract 704, Lorain County, Ohio</t>
  </si>
  <si>
    <t>Census Tract 705, Lorain County, Ohio</t>
  </si>
  <si>
    <t>Census Tract 706, Lorain County, Ohio</t>
  </si>
  <si>
    <t>Census Tract 707, Lorain County, Ohio</t>
  </si>
  <si>
    <t>Census Tract 708, Lorain County, Ohio</t>
  </si>
  <si>
    <t>Census Tract 709.01, Lorain County, Ohio</t>
  </si>
  <si>
    <t>Census Tract 709.02, Lorain County, Ohio</t>
  </si>
  <si>
    <t>Census Tract 710, Lorain County, Ohio</t>
  </si>
  <si>
    <t>Census Tract 711, Lorain County, Ohio</t>
  </si>
  <si>
    <t>Census Tract 712.01, Lorain County, Ohio</t>
  </si>
  <si>
    <t>Census Tract 712.02, Lorain County, Ohio</t>
  </si>
  <si>
    <t>Census Tract 713, Lorain County, Ohio</t>
  </si>
  <si>
    <t>Census Tract 714, Lorain County, Ohio</t>
  </si>
  <si>
    <t>Census Tract 715, Lorain County, Ohio</t>
  </si>
  <si>
    <t>Census Tract 771, Lorain County, Ohio</t>
  </si>
  <si>
    <t>Census Tract 801.01, Lorain County, Ohio</t>
  </si>
  <si>
    <t>Census Tract 801.03, Lorain County, Ohio</t>
  </si>
  <si>
    <t>Census Tract 801.04, Lorain County, Ohio</t>
  </si>
  <si>
    <t>Census Tract 805, Lorain County, Ohio</t>
  </si>
  <si>
    <t>Census Tract 806, Lorain County, Ohio</t>
  </si>
  <si>
    <t>Census Tract 807, Lorain County, Ohio</t>
  </si>
  <si>
    <t>Census Tract 901, Lorain County, Ohio</t>
  </si>
  <si>
    <t>Census Tract 902, Lorain County, Ohio</t>
  </si>
  <si>
    <t>Census Tract 911, Lorain County, Ohio</t>
  </si>
  <si>
    <t>Census Tract 912, Lorain County, Ohio</t>
  </si>
  <si>
    <t>Census Tract 921, Lorain County, Ohio</t>
  </si>
  <si>
    <t>Census Tract 931, Lorain County, Ohio</t>
  </si>
  <si>
    <t>Census Tract 941, Lorain County, Ohio</t>
  </si>
  <si>
    <t>Census Tract 951, Lorain County, Ohio</t>
  </si>
  <si>
    <t>Census Tract 961, Lorain County, Ohio</t>
  </si>
  <si>
    <t>Census Tract 971, Lorain County, Ohio</t>
  </si>
  <si>
    <t>Census Tract 972, Lorain County, Ohio</t>
  </si>
  <si>
    <t>Census Tract 973, Lorain County, Ohio</t>
  </si>
  <si>
    <t>Census Tract 974, Lorain County, Ohio</t>
  </si>
  <si>
    <t>Census Tract 2, Lucas County, Ohio</t>
  </si>
  <si>
    <t>Census Tract 3, Lucas County, Ohio</t>
  </si>
  <si>
    <t>Census Tract 4, Lucas County, Ohio</t>
  </si>
  <si>
    <t>Census Tract 6, Lucas County, Ohio</t>
  </si>
  <si>
    <t>Census Tract 7, Lucas County, Ohio</t>
  </si>
  <si>
    <t>Census Tract 8, Lucas County, Ohio</t>
  </si>
  <si>
    <t>Census Tract 9, Lucas County, Ohio</t>
  </si>
  <si>
    <t>Census Tract 10, Lucas County, Ohio</t>
  </si>
  <si>
    <t>Census Tract 11, Lucas County, Ohio</t>
  </si>
  <si>
    <t>Census Tract 12.01, Lucas County, Ohio</t>
  </si>
  <si>
    <t>Census Tract 12.02, Lucas County, Ohio</t>
  </si>
  <si>
    <t>Census Tract 13.01, Lucas County, Ohio</t>
  </si>
  <si>
    <t>Census Tract 13.02, Lucas County, Ohio</t>
  </si>
  <si>
    <t>Census Tract 13.03, Lucas County, Ohio</t>
  </si>
  <si>
    <t>Census Tract 14, Lucas County, Ohio</t>
  </si>
  <si>
    <t>Census Tract 15, Lucas County, Ohio</t>
  </si>
  <si>
    <t>Census Tract 16, Lucas County, Ohio</t>
  </si>
  <si>
    <t>Census Tract 17, Lucas County, Ohio</t>
  </si>
  <si>
    <t>Census Tract 18, Lucas County, Ohio</t>
  </si>
  <si>
    <t>Census Tract 19, Lucas County, Ohio</t>
  </si>
  <si>
    <t>Census Tract 20, Lucas County, Ohio</t>
  </si>
  <si>
    <t>Census Tract 21, Lucas County, Ohio</t>
  </si>
  <si>
    <t>Census Tract 22, Lucas County, Ohio</t>
  </si>
  <si>
    <t>Census Tract 23, Lucas County, Ohio</t>
  </si>
  <si>
    <t>Census Tract 24.01, Lucas County, Ohio</t>
  </si>
  <si>
    <t>Census Tract 24.02, Lucas County, Ohio</t>
  </si>
  <si>
    <t>Census Tract 25, Lucas County, Ohio</t>
  </si>
  <si>
    <t>Census Tract 26, Lucas County, Ohio</t>
  </si>
  <si>
    <t>Census Tract 27, Lucas County, Ohio</t>
  </si>
  <si>
    <t>Census Tract 28, Lucas County, Ohio</t>
  </si>
  <si>
    <t>Census Tract 29, Lucas County, Ohio</t>
  </si>
  <si>
    <t>Census Tract 30, Lucas County, Ohio</t>
  </si>
  <si>
    <t>Census Tract 31, Lucas County, Ohio</t>
  </si>
  <si>
    <t>Census Tract 32, Lucas County, Ohio</t>
  </si>
  <si>
    <t>Census Tract 33, Lucas County, Ohio</t>
  </si>
  <si>
    <t>Census Tract 34, Lucas County, Ohio</t>
  </si>
  <si>
    <t>Census Tract 35, Lucas County, Ohio</t>
  </si>
  <si>
    <t>Census Tract 36, Lucas County, Ohio</t>
  </si>
  <si>
    <t>Census Tract 37, Lucas County, Ohio</t>
  </si>
  <si>
    <t>Census Tract 39, Lucas County, Ohio</t>
  </si>
  <si>
    <t>Census Tract 40, Lucas County, Ohio</t>
  </si>
  <si>
    <t>Census Tract 42, Lucas County, Ohio</t>
  </si>
  <si>
    <t>Census Tract 44, Lucas County, Ohio</t>
  </si>
  <si>
    <t>Census Tract 45.01, Lucas County, Ohio</t>
  </si>
  <si>
    <t>Census Tract 45.03, Lucas County, Ohio</t>
  </si>
  <si>
    <t>Census Tract 45.04, Lucas County, Ohio</t>
  </si>
  <si>
    <t>Census Tract 46, Lucas County, Ohio</t>
  </si>
  <si>
    <t>Census Tract 47.01, Lucas County, Ohio</t>
  </si>
  <si>
    <t>Census Tract 47.02, Lucas County, Ohio</t>
  </si>
  <si>
    <t>Census Tract 48, Lucas County, Ohio</t>
  </si>
  <si>
    <t>Census Tract 49, Lucas County, Ohio</t>
  </si>
  <si>
    <t>Census Tract 50, Lucas County, Ohio</t>
  </si>
  <si>
    <t>Census Tract 51, Lucas County, Ohio</t>
  </si>
  <si>
    <t>Census Tract 52, Lucas County, Ohio</t>
  </si>
  <si>
    <t>Census Tract 53, Lucas County, Ohio</t>
  </si>
  <si>
    <t>Census Tract 54, Lucas County, Ohio</t>
  </si>
  <si>
    <t>Census Tract 55.01, Lucas County, Ohio</t>
  </si>
  <si>
    <t>Census Tract 55.02, Lucas County, Ohio</t>
  </si>
  <si>
    <t>Census Tract 55.03, Lucas County, Ohio</t>
  </si>
  <si>
    <t>Census Tract 56, Lucas County, Ohio</t>
  </si>
  <si>
    <t>Census Tract 57.01, Lucas County, Ohio</t>
  </si>
  <si>
    <t>Census Tract 57.02, Lucas County, Ohio</t>
  </si>
  <si>
    <t>Census Tract 57.03, Lucas County, Ohio</t>
  </si>
  <si>
    <t>Census Tract 58.01, Lucas County, Ohio</t>
  </si>
  <si>
    <t>Census Tract 58.02, Lucas County, Ohio</t>
  </si>
  <si>
    <t>Census Tract 59.01, Lucas County, Ohio</t>
  </si>
  <si>
    <t>Census Tract 59.02, Lucas County, Ohio</t>
  </si>
  <si>
    <t>Census Tract 60, Lucas County, Ohio</t>
  </si>
  <si>
    <t>Census Tract 61, Lucas County, Ohio</t>
  </si>
  <si>
    <t>Census Tract 62, Lucas County, Ohio</t>
  </si>
  <si>
    <t>Census Tract 63, Lucas County, Ohio</t>
  </si>
  <si>
    <t>Census Tract 64, Lucas County, Ohio</t>
  </si>
  <si>
    <t>Census Tract 65, Lucas County, Ohio</t>
  </si>
  <si>
    <t>Census Tract 66, Lucas County, Ohio</t>
  </si>
  <si>
    <t>Census Tract 67, Lucas County, Ohio</t>
  </si>
  <si>
    <t>Census Tract 68, Lucas County, Ohio</t>
  </si>
  <si>
    <t>Census Tract 69, Lucas County, Ohio</t>
  </si>
  <si>
    <t>Census Tract 70.01, Lucas County, Ohio</t>
  </si>
  <si>
    <t>Census Tract 70.02, Lucas County, Ohio</t>
  </si>
  <si>
    <t>Census Tract 71.01, Lucas County, Ohio</t>
  </si>
  <si>
    <t>Census Tract 71.02, Lucas County, Ohio</t>
  </si>
  <si>
    <t>Census Tract 72.02, Lucas County, Ohio</t>
  </si>
  <si>
    <t>Census Tract 72.03, Lucas County, Ohio</t>
  </si>
  <si>
    <t>Census Tract 72.04, Lucas County, Ohio</t>
  </si>
  <si>
    <t>Census Tract 72.05, Lucas County, Ohio</t>
  </si>
  <si>
    <t>Census Tract 73.01, Lucas County, Ohio</t>
  </si>
  <si>
    <t>Census Tract 73.02, Lucas County, Ohio</t>
  </si>
  <si>
    <t>Census Tract 73.03, Lucas County, Ohio</t>
  </si>
  <si>
    <t>Census Tract 74, Lucas County, Ohio</t>
  </si>
  <si>
    <t>Census Tract 75, Lucas County, Ohio</t>
  </si>
  <si>
    <t>Census Tract 76, Lucas County, Ohio</t>
  </si>
  <si>
    <t>Census Tract 77, Lucas County, Ohio</t>
  </si>
  <si>
    <t>Census Tract 78, Lucas County, Ohio</t>
  </si>
  <si>
    <t>Census Tract 79.01, Lucas County, Ohio</t>
  </si>
  <si>
    <t>Census Tract 79.02, Lucas County, Ohio</t>
  </si>
  <si>
    <t>Census Tract 80, Lucas County, Ohio</t>
  </si>
  <si>
    <t>Census Tract 81, Lucas County, Ohio</t>
  </si>
  <si>
    <t>Census Tract 82.01, Lucas County, Ohio</t>
  </si>
  <si>
    <t>Census Tract 82.02, Lucas County, Ohio</t>
  </si>
  <si>
    <t>Census Tract 82.03, Lucas County, Ohio</t>
  </si>
  <si>
    <t>Census Tract 83.01, Lucas County, Ohio</t>
  </si>
  <si>
    <t>Census Tract 83.02, Lucas County, Ohio</t>
  </si>
  <si>
    <t>Census Tract 84, Lucas County, Ohio</t>
  </si>
  <si>
    <t>Census Tract 85, Lucas County, Ohio</t>
  </si>
  <si>
    <t>Census Tract 86, Lucas County, Ohio</t>
  </si>
  <si>
    <t>Census Tract 87, Lucas County, Ohio</t>
  </si>
  <si>
    <t>Census Tract 88, Lucas County, Ohio</t>
  </si>
  <si>
    <t>Census Tract 89.01, Lucas County, Ohio</t>
  </si>
  <si>
    <t>Census Tract 89.02, Lucas County, Ohio</t>
  </si>
  <si>
    <t>Census Tract 90, Lucas County, Ohio</t>
  </si>
  <si>
    <t>Census Tract 91.01, Lucas County, Ohio</t>
  </si>
  <si>
    <t>Census Tract 91.02, Lucas County, Ohio</t>
  </si>
  <si>
    <t>Census Tract 92.01, Lucas County, Ohio</t>
  </si>
  <si>
    <t>Census Tract 92.02, Lucas County, Ohio</t>
  </si>
  <si>
    <t>Census Tract 93, Lucas County, Ohio</t>
  </si>
  <si>
    <t>Census Tract 94, Lucas County, Ohio</t>
  </si>
  <si>
    <t>Census Tract 95, Lucas County, Ohio</t>
  </si>
  <si>
    <t>Census Tract 96, Lucas County, Ohio</t>
  </si>
  <si>
    <t>Census Tract 97, Lucas County, Ohio</t>
  </si>
  <si>
    <t>Census Tract 98, Lucas County, Ohio</t>
  </si>
  <si>
    <t>Census Tract 99, Lucas County, Ohio</t>
  </si>
  <si>
    <t>Census Tract 100.01, Lucas County, Ohio</t>
  </si>
  <si>
    <t>Census Tract 100.02, Lucas County, Ohio</t>
  </si>
  <si>
    <t>Census Tract 101, Lucas County, Ohio</t>
  </si>
  <si>
    <t>Census Tract 102, Lucas County, Ohio</t>
  </si>
  <si>
    <t>Census Tract 103, Lucas County, Ohio</t>
  </si>
  <si>
    <t>Census Tract 104, Lucas County, Ohio</t>
  </si>
  <si>
    <t>Census Tract 401.01, Madison County, Ohio</t>
  </si>
  <si>
    <t>Census Tract 401.02, Madison County, Ohio</t>
  </si>
  <si>
    <t>Census Tract 402.01, Madison County, Ohio</t>
  </si>
  <si>
    <t>Census Tract 402.02, Madison County, Ohio</t>
  </si>
  <si>
    <t>Census Tract 404, Madison County, Ohio</t>
  </si>
  <si>
    <t>Census Tract 405, Madison County, Ohio</t>
  </si>
  <si>
    <t>Census Tract 406, Madison County, Ohio</t>
  </si>
  <si>
    <t>Census Tract 407, Madison County, Ohio</t>
  </si>
  <si>
    <t>Census Tract 410, Madison County, Ohio</t>
  </si>
  <si>
    <t>Census Tract 411, Madison County, Ohio</t>
  </si>
  <si>
    <t>Census Tract 412, Madison County, Ohio</t>
  </si>
  <si>
    <t>Census Tract 413, Madison County, Ohio</t>
  </si>
  <si>
    <t>Census Tract 8003, Mahoning County, Ohio</t>
  </si>
  <si>
    <t>Census Tract 8004, Mahoning County, Ohio</t>
  </si>
  <si>
    <t>Census Tract 8005, Mahoning County, Ohio</t>
  </si>
  <si>
    <t>Census Tract 8006, Mahoning County, Ohio</t>
  </si>
  <si>
    <t>Census Tract 8010, Mahoning County, Ohio</t>
  </si>
  <si>
    <t>Census Tract 8011, Mahoning County, Ohio</t>
  </si>
  <si>
    <t>Census Tract 8012, Mahoning County, Ohio</t>
  </si>
  <si>
    <t>Census Tract 8013, Mahoning County, Ohio</t>
  </si>
  <si>
    <t>Census Tract 8014, Mahoning County, Ohio</t>
  </si>
  <si>
    <t>Census Tract 8015, Mahoning County, Ohio</t>
  </si>
  <si>
    <t>Census Tract 8016, Mahoning County, Ohio</t>
  </si>
  <si>
    <t>Census Tract 8017, Mahoning County, Ohio</t>
  </si>
  <si>
    <t>Census Tract 8021, Mahoning County, Ohio</t>
  </si>
  <si>
    <t>Census Tract 8023, Mahoning County, Ohio</t>
  </si>
  <si>
    <t>Census Tract 8024, Mahoning County, Ohio</t>
  </si>
  <si>
    <t>Census Tract 8025, Mahoning County, Ohio</t>
  </si>
  <si>
    <t>Census Tract 8026, Mahoning County, Ohio</t>
  </si>
  <si>
    <t>Census Tract 8027.01, Mahoning County, Ohio</t>
  </si>
  <si>
    <t>Census Tract 8027.02, Mahoning County, Ohio</t>
  </si>
  <si>
    <t>Census Tract 8028, Mahoning County, Ohio</t>
  </si>
  <si>
    <t>Census Tract 8029, Mahoning County, Ohio</t>
  </si>
  <si>
    <t>Census Tract 8030, Mahoning County, Ohio</t>
  </si>
  <si>
    <t>Census Tract 8040, Mahoning County, Ohio</t>
  </si>
  <si>
    <t>Census Tract 8041, Mahoning County, Ohio</t>
  </si>
  <si>
    <t>Census Tract 8042, Mahoning County, Ohio</t>
  </si>
  <si>
    <t>Census Tract 8043, Mahoning County, Ohio</t>
  </si>
  <si>
    <t>Census Tract 8101, Mahoning County, Ohio</t>
  </si>
  <si>
    <t>Census Tract 8102, Mahoning County, Ohio</t>
  </si>
  <si>
    <t>Census Tract 8103, Mahoning County, Ohio</t>
  </si>
  <si>
    <t>Census Tract 8106, Mahoning County, Ohio</t>
  </si>
  <si>
    <t>Census Tract 8107, Mahoning County, Ohio</t>
  </si>
  <si>
    <t>Census Tract 8108, Mahoning County, Ohio</t>
  </si>
  <si>
    <t>Census Tract 8109, Mahoning County, Ohio</t>
  </si>
  <si>
    <t>Census Tract 8110.01, Mahoning County, Ohio</t>
  </si>
  <si>
    <t>Census Tract 8110.02, Mahoning County, Ohio</t>
  </si>
  <si>
    <t>Census Tract 8111, Mahoning County, Ohio</t>
  </si>
  <si>
    <t>Census Tract 8112, Mahoning County, Ohio</t>
  </si>
  <si>
    <t>Census Tract 8113, Mahoning County, Ohio</t>
  </si>
  <si>
    <t>Census Tract 8114, Mahoning County, Ohio</t>
  </si>
  <si>
    <t>Census Tract 8115, Mahoning County, Ohio</t>
  </si>
  <si>
    <t>Census Tract 8116, Mahoning County, Ohio</t>
  </si>
  <si>
    <t>Census Tract 8117, Mahoning County, Ohio</t>
  </si>
  <si>
    <t>Census Tract 8118, Mahoning County, Ohio</t>
  </si>
  <si>
    <t>Census Tract 8119.01, Mahoning County, Ohio</t>
  </si>
  <si>
    <t>Census Tract 8119.02, Mahoning County, Ohio</t>
  </si>
  <si>
    <t>Census Tract 8120.01, Mahoning County, Ohio</t>
  </si>
  <si>
    <t>Census Tract 8120.02, Mahoning County, Ohio</t>
  </si>
  <si>
    <t>Census Tract 8121, Mahoning County, Ohio</t>
  </si>
  <si>
    <t>Census Tract 8122, Mahoning County, Ohio</t>
  </si>
  <si>
    <t>Census Tract 8123.01, Mahoning County, Ohio</t>
  </si>
  <si>
    <t>Census Tract 8123.02, Mahoning County, Ohio</t>
  </si>
  <si>
    <t>Census Tract 8124, Mahoning County, Ohio</t>
  </si>
  <si>
    <t>Census Tract 8125, Mahoning County, Ohio</t>
  </si>
  <si>
    <t>Census Tract 8126.01, Mahoning County, Ohio</t>
  </si>
  <si>
    <t>Census Tract 8126.02, Mahoning County, Ohio</t>
  </si>
  <si>
    <t>Census Tract 8126.03, Mahoning County, Ohio</t>
  </si>
  <si>
    <t>Census Tract 8127, Mahoning County, Ohio</t>
  </si>
  <si>
    <t>Census Tract 8128, Mahoning County, Ohio</t>
  </si>
  <si>
    <t>Census Tract 8129, Mahoning County, Ohio</t>
  </si>
  <si>
    <t>Census Tract 8130, Mahoning County, Ohio</t>
  </si>
  <si>
    <t>Census Tract 8132, Mahoning County, Ohio</t>
  </si>
  <si>
    <t>Census Tract 8133, Mahoning County, Ohio</t>
  </si>
  <si>
    <t>Census Tract 8134, Mahoning County, Ohio</t>
  </si>
  <si>
    <t>Census Tract 8135, Mahoning County, Ohio</t>
  </si>
  <si>
    <t>Census Tract 8136, Mahoning County, Ohio</t>
  </si>
  <si>
    <t>Census Tract 8137, Mahoning County, Ohio</t>
  </si>
  <si>
    <t>Census Tract 8138, Mahoning County, Ohio</t>
  </si>
  <si>
    <t>Census Tract 8139, Mahoning County, Ohio</t>
  </si>
  <si>
    <t>Census Tract 8140, Mahoning County, Ohio</t>
  </si>
  <si>
    <t>Census Tract 8141, Mahoning County, Ohio</t>
  </si>
  <si>
    <t>Census Tract 1, Marion County, Ohio</t>
  </si>
  <si>
    <t>Census Tract 2, Marion County, Ohio</t>
  </si>
  <si>
    <t>Census Tract 3, Marion County, Ohio</t>
  </si>
  <si>
    <t>Census Tract 4, Marion County, Ohio</t>
  </si>
  <si>
    <t>Census Tract 5.01, Marion County, Ohio</t>
  </si>
  <si>
    <t>Census Tract 5.02, Marion County, Ohio</t>
  </si>
  <si>
    <t>Census Tract 6, Marion County, Ohio</t>
  </si>
  <si>
    <t>Census Tract 7, Marion County, Ohio</t>
  </si>
  <si>
    <t>Census Tract 8, Marion County, Ohio</t>
  </si>
  <si>
    <t>Census Tract 9, Marion County, Ohio</t>
  </si>
  <si>
    <t>Census Tract 10, Marion County, Ohio</t>
  </si>
  <si>
    <t>Census Tract 11, Marion County, Ohio</t>
  </si>
  <si>
    <t>Census Tract 101, Marion County, Ohio</t>
  </si>
  <si>
    <t>Census Tract 102.01, Marion County, Ohio</t>
  </si>
  <si>
    <t>Census Tract 102.02, Marion County, Ohio</t>
  </si>
  <si>
    <t>Census Tract 103, Marion County, Ohio</t>
  </si>
  <si>
    <t>Census Tract 104, Marion County, Ohio</t>
  </si>
  <si>
    <t>Census Tract 105, Marion County, Ohio</t>
  </si>
  <si>
    <t>Census Tract 4001, Medina County, Ohio</t>
  </si>
  <si>
    <t>Census Tract 4020, Medina County, Ohio</t>
  </si>
  <si>
    <t>Census Tract 4030.01, Medina County, Ohio</t>
  </si>
  <si>
    <t>Census Tract 4030.02, Medina County, Ohio</t>
  </si>
  <si>
    <t>Census Tract 4040, Medina County, Ohio</t>
  </si>
  <si>
    <t>Census Tract 4050, Medina County, Ohio</t>
  </si>
  <si>
    <t>Census Tract 4060, Medina County, Ohio</t>
  </si>
  <si>
    <t>Census Tract 4070, Medina County, Ohio</t>
  </si>
  <si>
    <t>Census Tract 4080.01, Medina County, Ohio</t>
  </si>
  <si>
    <t>Census Tract 4080.02, Medina County, Ohio</t>
  </si>
  <si>
    <t>Census Tract 4080.03, Medina County, Ohio</t>
  </si>
  <si>
    <t>Census Tract 4081, Medina County, Ohio</t>
  </si>
  <si>
    <t>Census Tract 4082.01, Medina County, Ohio</t>
  </si>
  <si>
    <t>Census Tract 4082.02, Medina County, Ohio</t>
  </si>
  <si>
    <t>Census Tract 4083.01, Medina County, Ohio</t>
  </si>
  <si>
    <t>Census Tract 4083.02, Medina County, Ohio</t>
  </si>
  <si>
    <t>Census Tract 4090.01, Medina County, Ohio</t>
  </si>
  <si>
    <t>Census Tract 4090.02, Medina County, Ohio</t>
  </si>
  <si>
    <t>Census Tract 4100, Medina County, Ohio</t>
  </si>
  <si>
    <t>Census Tract 4110.01, Medina County, Ohio</t>
  </si>
  <si>
    <t>Census Tract 4110.02, Medina County, Ohio</t>
  </si>
  <si>
    <t>Census Tract 4120, Medina County, Ohio</t>
  </si>
  <si>
    <t>Census Tract 4130, Medina County, Ohio</t>
  </si>
  <si>
    <t>Census Tract 4151, Medina County, Ohio</t>
  </si>
  <si>
    <t>Census Tract 4152, Medina County, Ohio</t>
  </si>
  <si>
    <t>Census Tract 4153, Medina County, Ohio</t>
  </si>
  <si>
    <t>Census Tract 4154, Medina County, Ohio</t>
  </si>
  <si>
    <t>Census Tract 4158, Medina County, Ohio</t>
  </si>
  <si>
    <t>Census Tract 4160, Medina County, Ohio</t>
  </si>
  <si>
    <t>Census Tract 4161, Medina County, Ohio</t>
  </si>
  <si>
    <t>Census Tract 4162, Medina County, Ohio</t>
  </si>
  <si>
    <t>Census Tract 4163, Medina County, Ohio</t>
  </si>
  <si>
    <t>Census Tract 4164, Medina County, Ohio</t>
  </si>
  <si>
    <t>Census Tract 4170, Medina County, Ohio</t>
  </si>
  <si>
    <t>Census Tract 4171, Medina County, Ohio</t>
  </si>
  <si>
    <t>Census Tract 4172, Medina County, Ohio</t>
  </si>
  <si>
    <t>Census Tract 4173, Medina County, Ohio</t>
  </si>
  <si>
    <t>Census Tract 9641, Meigs County, Ohio</t>
  </si>
  <si>
    <t>Census Tract 9642, Meigs County, Ohio</t>
  </si>
  <si>
    <t>Census Tract 9643, Meigs County, Ohio</t>
  </si>
  <si>
    <t>Census Tract 9644, Meigs County, Ohio</t>
  </si>
  <si>
    <t>Census Tract 9645, Meigs County, Ohio</t>
  </si>
  <si>
    <t>Census Tract 9646, Meigs County, Ohio</t>
  </si>
  <si>
    <t>Census Tract 9672, Mercer County, Ohio</t>
  </si>
  <si>
    <t>Census Tract 9673, Mercer County, Ohio</t>
  </si>
  <si>
    <t>Census Tract 9674, Mercer County, Ohio</t>
  </si>
  <si>
    <t>Census Tract 9675, Mercer County, Ohio</t>
  </si>
  <si>
    <t>Census Tract 9676, Mercer County, Ohio</t>
  </si>
  <si>
    <t>Census Tract 9677, Mercer County, Ohio</t>
  </si>
  <si>
    <t>Census Tract 9678, Mercer County, Ohio</t>
  </si>
  <si>
    <t>Census Tract 9679, Mercer County, Ohio</t>
  </si>
  <si>
    <t>Census Tract 9680, Mercer County, Ohio</t>
  </si>
  <si>
    <t>Census Tract 3001, Miami County, Ohio</t>
  </si>
  <si>
    <t>Census Tract 3150.01, Miami County, Ohio</t>
  </si>
  <si>
    <t>Census Tract 3150.02, Miami County, Ohio</t>
  </si>
  <si>
    <t>Census Tract 3151, Miami County, Ohio</t>
  </si>
  <si>
    <t>Census Tract 3153, Miami County, Ohio</t>
  </si>
  <si>
    <t>Census Tract 3201, Miami County, Ohio</t>
  </si>
  <si>
    <t>Census Tract 3250, Miami County, Ohio</t>
  </si>
  <si>
    <t>Census Tract 3301, Miami County, Ohio</t>
  </si>
  <si>
    <t>Census Tract 3401, Miami County, Ohio</t>
  </si>
  <si>
    <t>Census Tract 3450, Miami County, Ohio</t>
  </si>
  <si>
    <t>Census Tract 3501, Miami County, Ohio</t>
  </si>
  <si>
    <t>Census Tract 3550.01, Miami County, Ohio</t>
  </si>
  <si>
    <t>Census Tract 3550.02, Miami County, Ohio</t>
  </si>
  <si>
    <t>Census Tract 3650, Miami County, Ohio</t>
  </si>
  <si>
    <t>Census Tract 3651.01, Miami County, Ohio</t>
  </si>
  <si>
    <t>Census Tract 3651.02, Miami County, Ohio</t>
  </si>
  <si>
    <t>Census Tract 3652, Miami County, Ohio</t>
  </si>
  <si>
    <t>Census Tract 3653.01, Miami County, Ohio</t>
  </si>
  <si>
    <t>Census Tract 3653.02, Miami County, Ohio</t>
  </si>
  <si>
    <t>Census Tract 3801, Miami County, Ohio</t>
  </si>
  <si>
    <t>Census Tract 3901, Miami County, Ohio</t>
  </si>
  <si>
    <t>Census Tract 9666, Monroe County, Ohio</t>
  </si>
  <si>
    <t>Census Tract 9667, Monroe County, Ohio</t>
  </si>
  <si>
    <t>Census Tract 9668, Monroe County, Ohio</t>
  </si>
  <si>
    <t>Census Tract 9669, Monroe County, Ohio</t>
  </si>
  <si>
    <t>Census Tract 1, Montgomery County, Ohio</t>
  </si>
  <si>
    <t>Census Tract 2, Montgomery County, Ohio</t>
  </si>
  <si>
    <t>Census Tract 3, Montgomery County, Ohio</t>
  </si>
  <si>
    <t>Census Tract 4, Montgomery County, Ohio</t>
  </si>
  <si>
    <t>Census Tract 5, Montgomery County, Ohio</t>
  </si>
  <si>
    <t>Census Tract 6, Montgomery County, Ohio</t>
  </si>
  <si>
    <t>Census Tract 7, Montgomery County, Ohio</t>
  </si>
  <si>
    <t>Census Tract 8.01, Montgomery County, Ohio</t>
  </si>
  <si>
    <t>Census Tract 8.02, Montgomery County, Ohio</t>
  </si>
  <si>
    <t>Census Tract 9, Montgomery County, Ohio</t>
  </si>
  <si>
    <t>Census Tract 10, Montgomery County, Ohio</t>
  </si>
  <si>
    <t>Census Tract 11, Montgomery County, Ohio</t>
  </si>
  <si>
    <t>Census Tract 12, Montgomery County, Ohio</t>
  </si>
  <si>
    <t>Census Tract 15.01, Montgomery County, Ohio</t>
  </si>
  <si>
    <t>Census Tract 16, Montgomery County, Ohio</t>
  </si>
  <si>
    <t>Census Tract 17, Montgomery County, Ohio</t>
  </si>
  <si>
    <t>Census Tract 18, Montgomery County, Ohio</t>
  </si>
  <si>
    <t>Census Tract 19, Montgomery County, Ohio</t>
  </si>
  <si>
    <t>Census Tract 20, Montgomery County, Ohio</t>
  </si>
  <si>
    <t>Census Tract 22, Montgomery County, Ohio</t>
  </si>
  <si>
    <t>Census Tract 23, Montgomery County, Ohio</t>
  </si>
  <si>
    <t>Census Tract 24, Montgomery County, Ohio</t>
  </si>
  <si>
    <t>Census Tract 25, Montgomery County, Ohio</t>
  </si>
  <si>
    <t>Census Tract 26, Montgomery County, Ohio</t>
  </si>
  <si>
    <t>Census Tract 27, Montgomery County, Ohio</t>
  </si>
  <si>
    <t>Census Tract 28, Montgomery County, Ohio</t>
  </si>
  <si>
    <t>Census Tract 29, Montgomery County, Ohio</t>
  </si>
  <si>
    <t>Census Tract 30, Montgomery County, Ohio</t>
  </si>
  <si>
    <t>Census Tract 31, Montgomery County, Ohio</t>
  </si>
  <si>
    <t>Census Tract 32.01, Montgomery County, Ohio</t>
  </si>
  <si>
    <t>Census Tract 33, Montgomery County, Ohio</t>
  </si>
  <si>
    <t>Census Tract 34.02, Montgomery County, Ohio</t>
  </si>
  <si>
    <t>Census Tract 34.03, Montgomery County, Ohio</t>
  </si>
  <si>
    <t>Census Tract 34.04, Montgomery County, Ohio</t>
  </si>
  <si>
    <t>Census Tract 35, Montgomery County, Ohio</t>
  </si>
  <si>
    <t>Census Tract 38, Montgomery County, Ohio</t>
  </si>
  <si>
    <t>Census Tract 39, Montgomery County, Ohio</t>
  </si>
  <si>
    <t>Census Tract 41, Montgomery County, Ohio</t>
  </si>
  <si>
    <t>Census Tract 42, Montgomery County, Ohio</t>
  </si>
  <si>
    <t>Census Tract 43, Montgomery County, Ohio</t>
  </si>
  <si>
    <t>Census Tract 44, Montgomery County, Ohio</t>
  </si>
  <si>
    <t>Census Tract 46, Montgomery County, Ohio</t>
  </si>
  <si>
    <t>Census Tract 101, Montgomery County, Ohio</t>
  </si>
  <si>
    <t>Census Tract 102, Montgomery County, Ohio</t>
  </si>
  <si>
    <t>Census Tract 201, Montgomery County, Ohio</t>
  </si>
  <si>
    <t>Census Tract 202, Montgomery County, Ohio</t>
  </si>
  <si>
    <t>Census Tract 203, Montgomery County, Ohio</t>
  </si>
  <si>
    <t>Census Tract 204, Montgomery County, Ohio</t>
  </si>
  <si>
    <t>Census Tract 205, Montgomery County, Ohio</t>
  </si>
  <si>
    <t>Census Tract 206.01, Montgomery County, Ohio</t>
  </si>
  <si>
    <t>Census Tract 206.02, Montgomery County, Ohio</t>
  </si>
  <si>
    <t>Census Tract 207, Montgomery County, Ohio</t>
  </si>
  <si>
    <t>Census Tract 208, Montgomery County, Ohio</t>
  </si>
  <si>
    <t>Census Tract 209, Montgomery County, Ohio</t>
  </si>
  <si>
    <t>Census Tract 210, Montgomery County, Ohio</t>
  </si>
  <si>
    <t>Census Tract 211, Montgomery County, Ohio</t>
  </si>
  <si>
    <t>Census Tract 212, Montgomery County, Ohio</t>
  </si>
  <si>
    <t>Census Tract 213.01, Montgomery County, Ohio</t>
  </si>
  <si>
    <t>Census Tract 213.02, Montgomery County, Ohio</t>
  </si>
  <si>
    <t>Census Tract 214, Montgomery County, Ohio</t>
  </si>
  <si>
    <t>Census Tract 215.01, Montgomery County, Ohio</t>
  </si>
  <si>
    <t>Census Tract 215.02, Montgomery County, Ohio</t>
  </si>
  <si>
    <t>Census Tract 216.01, Montgomery County, Ohio</t>
  </si>
  <si>
    <t>Census Tract 216.02, Montgomery County, Ohio</t>
  </si>
  <si>
    <t>Census Tract 217, Montgomery County, Ohio</t>
  </si>
  <si>
    <t>Census Tract 218, Montgomery County, Ohio</t>
  </si>
  <si>
    <t>Census Tract 219, Montgomery County, Ohio</t>
  </si>
  <si>
    <t>Census Tract 301, Montgomery County, Ohio</t>
  </si>
  <si>
    <t>Census Tract 302, Montgomery County, Ohio</t>
  </si>
  <si>
    <t>Census Tract 401.01, Montgomery County, Ohio</t>
  </si>
  <si>
    <t>Census Tract 401.02, Montgomery County, Ohio</t>
  </si>
  <si>
    <t>Census Tract 401.03, Montgomery County, Ohio</t>
  </si>
  <si>
    <t>Census Tract 402.01, Montgomery County, Ohio</t>
  </si>
  <si>
    <t>Census Tract 402.03, Montgomery County, Ohio</t>
  </si>
  <si>
    <t>Census Tract 402.04, Montgomery County, Ohio</t>
  </si>
  <si>
    <t>Census Tract 403.02, Montgomery County, Ohio</t>
  </si>
  <si>
    <t>Census Tract 403.03, Montgomery County, Ohio</t>
  </si>
  <si>
    <t>Census Tract 403.05, Montgomery County, Ohio</t>
  </si>
  <si>
    <t>Census Tract 403.06, Montgomery County, Ohio</t>
  </si>
  <si>
    <t>Census Tract 404.01, Montgomery County, Ohio</t>
  </si>
  <si>
    <t>Census Tract 404.03, Montgomery County, Ohio</t>
  </si>
  <si>
    <t>Census Tract 404.05, Montgomery County, Ohio</t>
  </si>
  <si>
    <t>Census Tract 404.06, Montgomery County, Ohio</t>
  </si>
  <si>
    <t>Census Tract 501.01, Montgomery County, Ohio</t>
  </si>
  <si>
    <t>Census Tract 501.03, Montgomery County, Ohio</t>
  </si>
  <si>
    <t>Census Tract 501.04, Montgomery County, Ohio</t>
  </si>
  <si>
    <t>Census Tract 501.05, Montgomery County, Ohio</t>
  </si>
  <si>
    <t>Census Tract 503.01, Montgomery County, Ohio</t>
  </si>
  <si>
    <t>Census Tract 503.02, Montgomery County, Ohio</t>
  </si>
  <si>
    <t>Census Tract 503.03, Montgomery County, Ohio</t>
  </si>
  <si>
    <t>Census Tract 504.01, Montgomery County, Ohio</t>
  </si>
  <si>
    <t>Census Tract 504.02, Montgomery County, Ohio</t>
  </si>
  <si>
    <t>Census Tract 505.02, Montgomery County, Ohio</t>
  </si>
  <si>
    <t>Census Tract 505.03, Montgomery County, Ohio</t>
  </si>
  <si>
    <t>Census Tract 505.04, Montgomery County, Ohio</t>
  </si>
  <si>
    <t>Census Tract 506, Montgomery County, Ohio</t>
  </si>
  <si>
    <t>Census Tract 601, Montgomery County, Ohio</t>
  </si>
  <si>
    <t>Census Tract 602, Montgomery County, Ohio</t>
  </si>
  <si>
    <t>Census Tract 603, Montgomery County, Ohio</t>
  </si>
  <si>
    <t>Census Tract 701.01, Montgomery County, Ohio</t>
  </si>
  <si>
    <t>Census Tract 701.02, Montgomery County, Ohio</t>
  </si>
  <si>
    <t>Census Tract 702.01, Montgomery County, Ohio</t>
  </si>
  <si>
    <t>Census Tract 702.02, Montgomery County, Ohio</t>
  </si>
  <si>
    <t>Census Tract 703, Montgomery County, Ohio</t>
  </si>
  <si>
    <t>Census Tract 704, Montgomery County, Ohio</t>
  </si>
  <si>
    <t>Census Tract 705, Montgomery County, Ohio</t>
  </si>
  <si>
    <t>Census Tract 706, Montgomery County, Ohio</t>
  </si>
  <si>
    <t>Census Tract 707, Montgomery County, Ohio</t>
  </si>
  <si>
    <t>Census Tract 801, Montgomery County, Ohio</t>
  </si>
  <si>
    <t>Census Tract 802, Montgomery County, Ohio</t>
  </si>
  <si>
    <t>Census Tract 803, Montgomery County, Ohio</t>
  </si>
  <si>
    <t>Census Tract 804, Montgomery County, Ohio</t>
  </si>
  <si>
    <t>Census Tract 805, Montgomery County, Ohio</t>
  </si>
  <si>
    <t>Census Tract 806, Montgomery County, Ohio</t>
  </si>
  <si>
    <t>Census Tract 807, Montgomery County, Ohio</t>
  </si>
  <si>
    <t>Census Tract 903.02, Montgomery County, Ohio</t>
  </si>
  <si>
    <t>Census Tract 903.03, Montgomery County, Ohio</t>
  </si>
  <si>
    <t>Census Tract 903.04, Montgomery County, Ohio</t>
  </si>
  <si>
    <t>Census Tract 906, Montgomery County, Ohio</t>
  </si>
  <si>
    <t>Census Tract 907, Montgomery County, Ohio</t>
  </si>
  <si>
    <t>Census Tract 908, Montgomery County, Ohio</t>
  </si>
  <si>
    <t>Census Tract 909, Montgomery County, Ohio</t>
  </si>
  <si>
    <t>Census Tract 910, Montgomery County, Ohio</t>
  </si>
  <si>
    <t>Census Tract 911, Montgomery County, Ohio</t>
  </si>
  <si>
    <t>Census Tract 1001.01, Montgomery County, Ohio</t>
  </si>
  <si>
    <t>Census Tract 1001.02, Montgomery County, Ohio</t>
  </si>
  <si>
    <t>Census Tract 1002.01, Montgomery County, Ohio</t>
  </si>
  <si>
    <t>Census Tract 1002.02, Montgomery County, Ohio</t>
  </si>
  <si>
    <t>Census Tract 1002.03, Montgomery County, Ohio</t>
  </si>
  <si>
    <t>Census Tract 1003.01, Montgomery County, Ohio</t>
  </si>
  <si>
    <t>Census Tract 1003.02, Montgomery County, Ohio</t>
  </si>
  <si>
    <t>Census Tract 1004, Montgomery County, Ohio</t>
  </si>
  <si>
    <t>Census Tract 1101, Montgomery County, Ohio</t>
  </si>
  <si>
    <t>Census Tract 1102.01, Montgomery County, Ohio</t>
  </si>
  <si>
    <t>Census Tract 1102.02, Montgomery County, Ohio</t>
  </si>
  <si>
    <t>Census Tract 1150.02, Montgomery County, Ohio</t>
  </si>
  <si>
    <t>Census Tract 1150.11, Montgomery County, Ohio</t>
  </si>
  <si>
    <t>Census Tract 1150.12, Montgomery County, Ohio</t>
  </si>
  <si>
    <t>Census Tract 1201.01, Montgomery County, Ohio</t>
  </si>
  <si>
    <t>Census Tract 1201.02, Montgomery County, Ohio</t>
  </si>
  <si>
    <t>Census Tract 1201.03, Montgomery County, Ohio</t>
  </si>
  <si>
    <t>Census Tract 1250, Montgomery County, Ohio</t>
  </si>
  <si>
    <t>Census Tract 1251.01, Montgomery County, Ohio</t>
  </si>
  <si>
    <t>Census Tract 1251.02, Montgomery County, Ohio</t>
  </si>
  <si>
    <t>Census Tract 1301.01, Montgomery County, Ohio</t>
  </si>
  <si>
    <t>Census Tract 1301.02, Montgomery County, Ohio</t>
  </si>
  <si>
    <t>Census Tract 1401, Montgomery County, Ohio</t>
  </si>
  <si>
    <t>Census Tract 1501, Montgomery County, Ohio</t>
  </si>
  <si>
    <t>Census Tract 1601, Montgomery County, Ohio</t>
  </si>
  <si>
    <t>Census Tract 1650, Montgomery County, Ohio</t>
  </si>
  <si>
    <t>Census Tract 1651, Montgomery County, Ohio</t>
  </si>
  <si>
    <t>Census Tract 1652, Montgomery County, Ohio</t>
  </si>
  <si>
    <t>Census Tract 9800, Montgomery County, Ohio</t>
  </si>
  <si>
    <t>Census Tract 9688, Morgan County, Ohio</t>
  </si>
  <si>
    <t>Census Tract 9689, Morgan County, Ohio</t>
  </si>
  <si>
    <t>Census Tract 9690, Morgan County, Ohio</t>
  </si>
  <si>
    <t>Census Tract 9691, Morgan County, Ohio</t>
  </si>
  <si>
    <t>Census Tract 9650, Morrow County, Ohio</t>
  </si>
  <si>
    <t>Census Tract 9651, Morrow County, Ohio</t>
  </si>
  <si>
    <t>Census Tract 9652, Morrow County, Ohio</t>
  </si>
  <si>
    <t>Census Tract 9653, Morrow County, Ohio</t>
  </si>
  <si>
    <t>Census Tract 9654, Morrow County, Ohio</t>
  </si>
  <si>
    <t>Census Tract 9655, Morrow County, Ohio</t>
  </si>
  <si>
    <t>Census Tract 9110, Muskingum County, Ohio</t>
  </si>
  <si>
    <t>Census Tract 9111, Muskingum County, Ohio</t>
  </si>
  <si>
    <t>Census Tract 9112, Muskingum County, Ohio</t>
  </si>
  <si>
    <t>Census Tract 9113, Muskingum County, Ohio</t>
  </si>
  <si>
    <t>Census Tract 9114, Muskingum County, Ohio</t>
  </si>
  <si>
    <t>Census Tract 9115, Muskingum County, Ohio</t>
  </si>
  <si>
    <t>Census Tract 9116, Muskingum County, Ohio</t>
  </si>
  <si>
    <t>Census Tract 9117, Muskingum County, Ohio</t>
  </si>
  <si>
    <t>Census Tract 9118, Muskingum County, Ohio</t>
  </si>
  <si>
    <t>Census Tract 9119, Muskingum County, Ohio</t>
  </si>
  <si>
    <t>Census Tract 9120, Muskingum County, Ohio</t>
  </si>
  <si>
    <t>Census Tract 9121, Muskingum County, Ohio</t>
  </si>
  <si>
    <t>Census Tract 9122, Muskingum County, Ohio</t>
  </si>
  <si>
    <t>Census Tract 9123, Muskingum County, Ohio</t>
  </si>
  <si>
    <t>Census Tract 9124, Muskingum County, Ohio</t>
  </si>
  <si>
    <t>Census Tract 9125, Muskingum County, Ohio</t>
  </si>
  <si>
    <t>Census Tract 9126, Muskingum County, Ohio</t>
  </si>
  <si>
    <t>Census Tract 9127, Muskingum County, Ohio</t>
  </si>
  <si>
    <t>Census Tract 9128, Muskingum County, Ohio</t>
  </si>
  <si>
    <t>Census Tract 9683, Noble County, Ohio</t>
  </si>
  <si>
    <t>Census Tract 9684, Noble County, Ohio</t>
  </si>
  <si>
    <t>Census Tract 9685, Noble County, Ohio</t>
  </si>
  <si>
    <t>Census Tract 501, Ottawa County, Ohio</t>
  </si>
  <si>
    <t>Census Tract 502.01, Ottawa County, Ohio</t>
  </si>
  <si>
    <t>Census Tract 502.02, Ottawa County, Ohio</t>
  </si>
  <si>
    <t>Census Tract 503.01, Ottawa County, Ohio</t>
  </si>
  <si>
    <t>Census Tract 503.02, Ottawa County, Ohio</t>
  </si>
  <si>
    <t>Census Tract 505, Ottawa County, Ohio</t>
  </si>
  <si>
    <t>Census Tract 506, Ottawa County, Ohio</t>
  </si>
  <si>
    <t>Census Tract 507, Ottawa County, Ohio</t>
  </si>
  <si>
    <t>Census Tract 508, Ottawa County, Ohio</t>
  </si>
  <si>
    <t>Census Tract 509, Ottawa County, Ohio</t>
  </si>
  <si>
    <t>Census Tract 510, Ottawa County, Ohio</t>
  </si>
  <si>
    <t>Census Tract 511, Ottawa County, Ohio</t>
  </si>
  <si>
    <t>Census Tract 512, Ottawa County, Ohio</t>
  </si>
  <si>
    <t>Census Tract 9601, Paulding County, Ohio</t>
  </si>
  <si>
    <t>Census Tract 9602, Paulding County, Ohio</t>
  </si>
  <si>
    <t>Census Tract 9603, Paulding County, Ohio</t>
  </si>
  <si>
    <t>Census Tract 9604, Paulding County, Ohio</t>
  </si>
  <si>
    <t>Census Tract 9605, Paulding County, Ohio</t>
  </si>
  <si>
    <t>Census Tract 9658, Perry County, Ohio</t>
  </si>
  <si>
    <t>Census Tract 9659, Perry County, Ohio</t>
  </si>
  <si>
    <t>Census Tract 9660, Perry County, Ohio</t>
  </si>
  <si>
    <t>Census Tract 9661, Perry County, Ohio</t>
  </si>
  <si>
    <t>Census Tract 9662, Perry County, Ohio</t>
  </si>
  <si>
    <t>Census Tract 9663, Perry County, Ohio</t>
  </si>
  <si>
    <t>Census Tract 201, Pickaway County, Ohio</t>
  </si>
  <si>
    <t>Census Tract 202, Pickaway County, Ohio</t>
  </si>
  <si>
    <t>Census Tract 203.10, Pickaway County, Ohio</t>
  </si>
  <si>
    <t>Census Tract 203.20, Pickaway County, Ohio</t>
  </si>
  <si>
    <t>Census Tract 204, Pickaway County, Ohio</t>
  </si>
  <si>
    <t>Census Tract 211, Pickaway County, Ohio</t>
  </si>
  <si>
    <t>Census Tract 212, Pickaway County, Ohio</t>
  </si>
  <si>
    <t>Census Tract 213, Pickaway County, Ohio</t>
  </si>
  <si>
    <t>Census Tract 214.01, Pickaway County, Ohio</t>
  </si>
  <si>
    <t>Census Tract 214.02, Pickaway County, Ohio</t>
  </si>
  <si>
    <t>Census Tract 215, Pickaway County, Ohio</t>
  </si>
  <si>
    <t>Census Tract 216, Pickaway County, Ohio</t>
  </si>
  <si>
    <t>Census Tract 217, Pickaway County, Ohio</t>
  </si>
  <si>
    <t>Census Tract 9522, Pike County, Ohio</t>
  </si>
  <si>
    <t>Census Tract 9523, Pike County, Ohio</t>
  </si>
  <si>
    <t>Census Tract 9524, Pike County, Ohio</t>
  </si>
  <si>
    <t>Census Tract 9525, Pike County, Ohio</t>
  </si>
  <si>
    <t>Census Tract 9526, Pike County, Ohio</t>
  </si>
  <si>
    <t>Census Tract 9527, Pike County, Ohio</t>
  </si>
  <si>
    <t>Census Tract 6001.02, Portage County, Ohio</t>
  </si>
  <si>
    <t>Census Tract 6001.03, Portage County, Ohio</t>
  </si>
  <si>
    <t>Census Tract 6002, Portage County, Ohio</t>
  </si>
  <si>
    <t>Census Tract 6003.01, Portage County, Ohio</t>
  </si>
  <si>
    <t>Census Tract 6003.02, Portage County, Ohio</t>
  </si>
  <si>
    <t>Census Tract 6004.01, Portage County, Ohio</t>
  </si>
  <si>
    <t>Census Tract 6004.02, Portage County, Ohio</t>
  </si>
  <si>
    <t>Census Tract 6004.03, Portage County, Ohio</t>
  </si>
  <si>
    <t>Census Tract 6005, Portage County, Ohio</t>
  </si>
  <si>
    <t>Census Tract 6006.02, Portage County, Ohio</t>
  </si>
  <si>
    <t>Census Tract 6006.03, Portage County, Ohio</t>
  </si>
  <si>
    <t>Census Tract 6007.03, Portage County, Ohio</t>
  </si>
  <si>
    <t>Census Tract 6007.04, Portage County, Ohio</t>
  </si>
  <si>
    <t>Census Tract 6007.05, Portage County, Ohio</t>
  </si>
  <si>
    <t>Census Tract 6007.06, Portage County, Ohio</t>
  </si>
  <si>
    <t>Census Tract 6008, Portage County, Ohio</t>
  </si>
  <si>
    <t>Census Tract 6009.01, Portage County, Ohio</t>
  </si>
  <si>
    <t>Census Tract 6009.02, Portage County, Ohio</t>
  </si>
  <si>
    <t>Census Tract 6010, Portage County, Ohio</t>
  </si>
  <si>
    <t>Census Tract 6011, Portage County, Ohio</t>
  </si>
  <si>
    <t>Census Tract 6012, Portage County, Ohio</t>
  </si>
  <si>
    <t>Census Tract 6013, Portage County, Ohio</t>
  </si>
  <si>
    <t>Census Tract 6014, Portage County, Ohio</t>
  </si>
  <si>
    <t>Census Tract 6015.01, Portage County, Ohio</t>
  </si>
  <si>
    <t>Census Tract 6015.02, Portage County, Ohio</t>
  </si>
  <si>
    <t>Census Tract 6015.03, Portage County, Ohio</t>
  </si>
  <si>
    <t>Census Tract 6016, Portage County, Ohio</t>
  </si>
  <si>
    <t>Census Tract 6017.01, Portage County, Ohio</t>
  </si>
  <si>
    <t>Census Tract 6017.02, Portage County, Ohio</t>
  </si>
  <si>
    <t>Census Tract 6018.01, Portage County, Ohio</t>
  </si>
  <si>
    <t>Census Tract 6018.02, Portage County, Ohio</t>
  </si>
  <si>
    <t>Census Tract 6019.01, Portage County, Ohio</t>
  </si>
  <si>
    <t>Census Tract 6019.02, Portage County, Ohio</t>
  </si>
  <si>
    <t>Census Tract 6020, Portage County, Ohio</t>
  </si>
  <si>
    <t>Census Tract 6021, Portage County, Ohio</t>
  </si>
  <si>
    <t>Census Tract 4001, Preble County, Ohio</t>
  </si>
  <si>
    <t>Census Tract 4101, Preble County, Ohio</t>
  </si>
  <si>
    <t>Census Tract 4201, Preble County, Ohio</t>
  </si>
  <si>
    <t>Census Tract 4301, Preble County, Ohio</t>
  </si>
  <si>
    <t>Census Tract 4401, Preble County, Ohio</t>
  </si>
  <si>
    <t>Census Tract 4501, Preble County, Ohio</t>
  </si>
  <si>
    <t>Census Tract 4550.01, Preble County, Ohio</t>
  </si>
  <si>
    <t>Census Tract 4550.02, Preble County, Ohio</t>
  </si>
  <si>
    <t>Census Tract 4601, Preble County, Ohio</t>
  </si>
  <si>
    <t>Census Tract 4701.01, Preble County, Ohio</t>
  </si>
  <si>
    <t>Census Tract 4701.02, Preble County, Ohio</t>
  </si>
  <si>
    <t>Census Tract 4801, Preble County, Ohio</t>
  </si>
  <si>
    <t>Census Tract 301, Putnam County, Ohio</t>
  </si>
  <si>
    <t>Census Tract 302, Putnam County, Ohio</t>
  </si>
  <si>
    <t>Census Tract 303, Putnam County, Ohio</t>
  </si>
  <si>
    <t>Census Tract 304, Putnam County, Ohio</t>
  </si>
  <si>
    <t>Census Tract 305, Putnam County, Ohio</t>
  </si>
  <si>
    <t>Census Tract 306, Putnam County, Ohio</t>
  </si>
  <si>
    <t>Census Tract 307, Putnam County, Ohio</t>
  </si>
  <si>
    <t>Census Tract 4, Richland County, Ohio</t>
  </si>
  <si>
    <t>Census Tract 5, Richland County, Ohio</t>
  </si>
  <si>
    <t>Census Tract 6, Richland County, Ohio</t>
  </si>
  <si>
    <t>Census Tract 7, Richland County, Ohio</t>
  </si>
  <si>
    <t>Census Tract 8, Richland County, Ohio</t>
  </si>
  <si>
    <t>Census Tract 9, Richland County, Ohio</t>
  </si>
  <si>
    <t>Census Tract 10, Richland County, Ohio</t>
  </si>
  <si>
    <t>Census Tract 11, Richland County, Ohio</t>
  </si>
  <si>
    <t>Census Tract 12, Richland County, Ohio</t>
  </si>
  <si>
    <t>Census Tract 13, Richland County, Ohio</t>
  </si>
  <si>
    <t>Census Tract 14, Richland County, Ohio</t>
  </si>
  <si>
    <t>Census Tract 15, Richland County, Ohio</t>
  </si>
  <si>
    <t>Census Tract 16, Richland County, Ohio</t>
  </si>
  <si>
    <t>Census Tract 17, Richland County, Ohio</t>
  </si>
  <si>
    <t>Census Tract 18, Richland County, Ohio</t>
  </si>
  <si>
    <t>Census Tract 19, Richland County, Ohio</t>
  </si>
  <si>
    <t>Census Tract 20, Richland County, Ohio</t>
  </si>
  <si>
    <t>Census Tract 21.01, Richland County, Ohio</t>
  </si>
  <si>
    <t>Census Tract 21.02, Richland County, Ohio</t>
  </si>
  <si>
    <t>Census Tract 22, Richland County, Ohio</t>
  </si>
  <si>
    <t>Census Tract 23, Richland County, Ohio</t>
  </si>
  <si>
    <t>Census Tract 24, Richland County, Ohio</t>
  </si>
  <si>
    <t>Census Tract 25, Richland County, Ohio</t>
  </si>
  <si>
    <t>Census Tract 26, Richland County, Ohio</t>
  </si>
  <si>
    <t>Census Tract 27, Richland County, Ohio</t>
  </si>
  <si>
    <t>Census Tract 28, Richland County, Ohio</t>
  </si>
  <si>
    <t>Census Tract 29, Richland County, Ohio</t>
  </si>
  <si>
    <t>Census Tract 30.01, Richland County, Ohio</t>
  </si>
  <si>
    <t>Census Tract 30.02, Richland County, Ohio</t>
  </si>
  <si>
    <t>Census Tract 31, Richland County, Ohio</t>
  </si>
  <si>
    <t>Census Tract 9555, Ross County, Ohio</t>
  </si>
  <si>
    <t>Census Tract 9556.01, Ross County, Ohio</t>
  </si>
  <si>
    <t>Census Tract 9556.02, Ross County, Ohio</t>
  </si>
  <si>
    <t>Census Tract 9556.03, Ross County, Ohio</t>
  </si>
  <si>
    <t>Census Tract 9557, Ross County, Ohio</t>
  </si>
  <si>
    <t>Census Tract 9558, Ross County, Ohio</t>
  </si>
  <si>
    <t>Census Tract 9559, Ross County, Ohio</t>
  </si>
  <si>
    <t>Census Tract 9560, Ross County, Ohio</t>
  </si>
  <si>
    <t>Census Tract 9561, Ross County, Ohio</t>
  </si>
  <si>
    <t>Census Tract 9562, Ross County, Ohio</t>
  </si>
  <si>
    <t>Census Tract 9563, Ross County, Ohio</t>
  </si>
  <si>
    <t>Census Tract 9564, Ross County, Ohio</t>
  </si>
  <si>
    <t>Census Tract 9565, Ross County, Ohio</t>
  </si>
  <si>
    <t>Census Tract 9566, Ross County, Ohio</t>
  </si>
  <si>
    <t>Census Tract 9567, Ross County, Ohio</t>
  </si>
  <si>
    <t>Census Tract 9568, Ross County, Ohio</t>
  </si>
  <si>
    <t>Census Tract 9569, Ross County, Ohio</t>
  </si>
  <si>
    <t>Census Tract 9608, Sandusky County, Ohio</t>
  </si>
  <si>
    <t>Census Tract 9609, Sandusky County, Ohio</t>
  </si>
  <si>
    <t>Census Tract 9610, Sandusky County, Ohio</t>
  </si>
  <si>
    <t>Census Tract 9611, Sandusky County, Ohio</t>
  </si>
  <si>
    <t>Census Tract 9612, Sandusky County, Ohio</t>
  </si>
  <si>
    <t>Census Tract 9613, Sandusky County, Ohio</t>
  </si>
  <si>
    <t>Census Tract 9614, Sandusky County, Ohio</t>
  </si>
  <si>
    <t>Census Tract 9615, Sandusky County, Ohio</t>
  </si>
  <si>
    <t>Census Tract 9616, Sandusky County, Ohio</t>
  </si>
  <si>
    <t>Census Tract 9617, Sandusky County, Ohio</t>
  </si>
  <si>
    <t>Census Tract 9618, Sandusky County, Ohio</t>
  </si>
  <si>
    <t>Census Tract 9619, Sandusky County, Ohio</t>
  </si>
  <si>
    <t>Census Tract 9620, Sandusky County, Ohio</t>
  </si>
  <si>
    <t>Census Tract 9621, Sandusky County, Ohio</t>
  </si>
  <si>
    <t>Census Tract 9622, Sandusky County, Ohio</t>
  </si>
  <si>
    <t>Census Tract 21, Scioto County, Ohio</t>
  </si>
  <si>
    <t>Census Tract 22, Scioto County, Ohio</t>
  </si>
  <si>
    <t>Census Tract 23, Scioto County, Ohio</t>
  </si>
  <si>
    <t>Census Tract 24, Scioto County, Ohio</t>
  </si>
  <si>
    <t>Census Tract 25, Scioto County, Ohio</t>
  </si>
  <si>
    <t>Census Tract 26, Scioto County, Ohio</t>
  </si>
  <si>
    <t>Census Tract 27, Scioto County, Ohio</t>
  </si>
  <si>
    <t>Census Tract 28, Scioto County, Ohio</t>
  </si>
  <si>
    <t>Census Tract 29, Scioto County, Ohio</t>
  </si>
  <si>
    <t>Census Tract 30, Scioto County, Ohio</t>
  </si>
  <si>
    <t>Census Tract 31, Scioto County, Ohio</t>
  </si>
  <si>
    <t>Census Tract 32, Scioto County, Ohio</t>
  </si>
  <si>
    <t>Census Tract 33, Scioto County, Ohio</t>
  </si>
  <si>
    <t>Census Tract 34, Scioto County, Ohio</t>
  </si>
  <si>
    <t>Census Tract 35, Scioto County, Ohio</t>
  </si>
  <si>
    <t>Census Tract 36, Scioto County, Ohio</t>
  </si>
  <si>
    <t>Census Tract 37, Scioto County, Ohio</t>
  </si>
  <si>
    <t>Census Tract 38, Scioto County, Ohio</t>
  </si>
  <si>
    <t>Census Tract 39, Scioto County, Ohio</t>
  </si>
  <si>
    <t>Census Tract 40, Scioto County, Ohio</t>
  </si>
  <si>
    <t>Census Tract 9625, Seneca County, Ohio</t>
  </si>
  <si>
    <t>Census Tract 9626, Seneca County, Ohio</t>
  </si>
  <si>
    <t>Census Tract 9627, Seneca County, Ohio</t>
  </si>
  <si>
    <t>Census Tract 9628, Seneca County, Ohio</t>
  </si>
  <si>
    <t>Census Tract 9629, Seneca County, Ohio</t>
  </si>
  <si>
    <t>Census Tract 9630, Seneca County, Ohio</t>
  </si>
  <si>
    <t>Census Tract 9631, Seneca County, Ohio</t>
  </si>
  <si>
    <t>Census Tract 9632, Seneca County, Ohio</t>
  </si>
  <si>
    <t>Census Tract 9633, Seneca County, Ohio</t>
  </si>
  <si>
    <t>Census Tract 9634, Seneca County, Ohio</t>
  </si>
  <si>
    <t>Census Tract 9635, Seneca County, Ohio</t>
  </si>
  <si>
    <t>Census Tract 9636, Seneca County, Ohio</t>
  </si>
  <si>
    <t>Census Tract 9637, Seneca County, Ohio</t>
  </si>
  <si>
    <t>Census Tract 9638, Seneca County, Ohio</t>
  </si>
  <si>
    <t>Census Tract 9714, Shelby County, Ohio</t>
  </si>
  <si>
    <t>Census Tract 9715, Shelby County, Ohio</t>
  </si>
  <si>
    <t>Census Tract 9716, Shelby County, Ohio</t>
  </si>
  <si>
    <t>Census Tract 9717, Shelby County, Ohio</t>
  </si>
  <si>
    <t>Census Tract 9718, Shelby County, Ohio</t>
  </si>
  <si>
    <t>Census Tract 9719, Shelby County, Ohio</t>
  </si>
  <si>
    <t>Census Tract 9720, Shelby County, Ohio</t>
  </si>
  <si>
    <t>Census Tract 9721, Shelby County, Ohio</t>
  </si>
  <si>
    <t>Census Tract 9722, Shelby County, Ohio</t>
  </si>
  <si>
    <t>Census Tract 9723, Shelby County, Ohio</t>
  </si>
  <si>
    <t>Census Tract 7001, Stark County, Ohio</t>
  </si>
  <si>
    <t>Census Tract 7002, Stark County, Ohio</t>
  </si>
  <si>
    <t>Census Tract 7003, Stark County, Ohio</t>
  </si>
  <si>
    <t>Census Tract 7004, Stark County, Ohio</t>
  </si>
  <si>
    <t>Census Tract 7005, Stark County, Ohio</t>
  </si>
  <si>
    <t>Census Tract 7006, Stark County, Ohio</t>
  </si>
  <si>
    <t>Census Tract 7007, Stark County, Ohio</t>
  </si>
  <si>
    <t>Census Tract 7008, Stark County, Ohio</t>
  </si>
  <si>
    <t>Census Tract 7010, Stark County, Ohio</t>
  </si>
  <si>
    <t>Census Tract 7011, Stark County, Ohio</t>
  </si>
  <si>
    <t>Census Tract 7012, Stark County, Ohio</t>
  </si>
  <si>
    <t>Census Tract 7013, Stark County, Ohio</t>
  </si>
  <si>
    <t>Census Tract 7015, Stark County, Ohio</t>
  </si>
  <si>
    <t>Census Tract 7017, Stark County, Ohio</t>
  </si>
  <si>
    <t>Census Tract 7018, Stark County, Ohio</t>
  </si>
  <si>
    <t>Census Tract 7021, Stark County, Ohio</t>
  </si>
  <si>
    <t>Census Tract 7023, Stark County, Ohio</t>
  </si>
  <si>
    <t>Census Tract 7025, Stark County, Ohio</t>
  </si>
  <si>
    <t>Census Tract 7102, Stark County, Ohio</t>
  </si>
  <si>
    <t>Census Tract 7103, Stark County, Ohio</t>
  </si>
  <si>
    <t>Census Tract 7104, Stark County, Ohio</t>
  </si>
  <si>
    <t>Census Tract 7105, Stark County, Ohio</t>
  </si>
  <si>
    <t>Census Tract 7106, Stark County, Ohio</t>
  </si>
  <si>
    <t>Census Tract 7107, Stark County, Ohio</t>
  </si>
  <si>
    <t>Census Tract 7108, Stark County, Ohio</t>
  </si>
  <si>
    <t>Census Tract 7109, Stark County, Ohio</t>
  </si>
  <si>
    <t>Census Tract 7110, Stark County, Ohio</t>
  </si>
  <si>
    <t>Census Tract 7111.11, Stark County, Ohio</t>
  </si>
  <si>
    <t>Census Tract 7111.12, Stark County, Ohio</t>
  </si>
  <si>
    <t>Census Tract 7111.21, Stark County, Ohio</t>
  </si>
  <si>
    <t>Census Tract 7111.22, Stark County, Ohio</t>
  </si>
  <si>
    <t>Census Tract 7112.02, Stark County, Ohio</t>
  </si>
  <si>
    <t>Census Tract 7112.11, Stark County, Ohio</t>
  </si>
  <si>
    <t>Census Tract 7112.12, Stark County, Ohio</t>
  </si>
  <si>
    <t>Census Tract 7113.11, Stark County, Ohio</t>
  </si>
  <si>
    <t>Census Tract 7113.12, Stark County, Ohio</t>
  </si>
  <si>
    <t>Census Tract 7113.21, Stark County, Ohio</t>
  </si>
  <si>
    <t>Census Tract 7113.22, Stark County, Ohio</t>
  </si>
  <si>
    <t>Census Tract 7114.02, Stark County, Ohio</t>
  </si>
  <si>
    <t>Census Tract 7114.11, Stark County, Ohio</t>
  </si>
  <si>
    <t>Census Tract 7114.12, Stark County, Ohio</t>
  </si>
  <si>
    <t>Census Tract 7115.01, Stark County, Ohio</t>
  </si>
  <si>
    <t>Census Tract 7115.02, Stark County, Ohio</t>
  </si>
  <si>
    <t>Census Tract 7116, Stark County, Ohio</t>
  </si>
  <si>
    <t>Census Tract 7117, Stark County, Ohio</t>
  </si>
  <si>
    <t>Census Tract 7118, Stark County, Ohio</t>
  </si>
  <si>
    <t>Census Tract 7119, Stark County, Ohio</t>
  </si>
  <si>
    <t>Census Tract 7120, Stark County, Ohio</t>
  </si>
  <si>
    <t>Census Tract 7121.02, Stark County, Ohio</t>
  </si>
  <si>
    <t>Census Tract 7121.11, Stark County, Ohio</t>
  </si>
  <si>
    <t>Census Tract 7121.12, Stark County, Ohio</t>
  </si>
  <si>
    <t>Census Tract 7122.01, Stark County, Ohio</t>
  </si>
  <si>
    <t>Census Tract 7122.02, Stark County, Ohio</t>
  </si>
  <si>
    <t>Census Tract 7123, Stark County, Ohio</t>
  </si>
  <si>
    <t>Census Tract 7124, Stark County, Ohio</t>
  </si>
  <si>
    <t>Census Tract 7125, Stark County, Ohio</t>
  </si>
  <si>
    <t>Census Tract 7126.01, Stark County, Ohio</t>
  </si>
  <si>
    <t>Census Tract 7126.02, Stark County, Ohio</t>
  </si>
  <si>
    <t>Census Tract 7127, Stark County, Ohio</t>
  </si>
  <si>
    <t>Census Tract 7128, Stark County, Ohio</t>
  </si>
  <si>
    <t>Census Tract 7129, Stark County, Ohio</t>
  </si>
  <si>
    <t>Census Tract 7130, Stark County, Ohio</t>
  </si>
  <si>
    <t>Census Tract 7131, Stark County, Ohio</t>
  </si>
  <si>
    <t>Census Tract 7132.01, Stark County, Ohio</t>
  </si>
  <si>
    <t>Census Tract 7132.02, Stark County, Ohio</t>
  </si>
  <si>
    <t>Census Tract 7133, Stark County, Ohio</t>
  </si>
  <si>
    <t>Census Tract 7134.01, Stark County, Ohio</t>
  </si>
  <si>
    <t>Census Tract 7134.02, Stark County, Ohio</t>
  </si>
  <si>
    <t>Census Tract 7135.01, Stark County, Ohio</t>
  </si>
  <si>
    <t>Census Tract 7135.02, Stark County, Ohio</t>
  </si>
  <si>
    <t>Census Tract 7136, Stark County, Ohio</t>
  </si>
  <si>
    <t>Census Tract 7137, Stark County, Ohio</t>
  </si>
  <si>
    <t>Census Tract 7139, Stark County, Ohio</t>
  </si>
  <si>
    <t>Census Tract 7140, Stark County, Ohio</t>
  </si>
  <si>
    <t>Census Tract 7141, Stark County, Ohio</t>
  </si>
  <si>
    <t>Census Tract 7142, Stark County, Ohio</t>
  </si>
  <si>
    <t>Census Tract 7143.02, Stark County, Ohio</t>
  </si>
  <si>
    <t>Census Tract 7144, Stark County, Ohio</t>
  </si>
  <si>
    <t>Census Tract 7146, Stark County, Ohio</t>
  </si>
  <si>
    <t>Census Tract 7147.01, Stark County, Ohio</t>
  </si>
  <si>
    <t>Census Tract 7147.02, Stark County, Ohio</t>
  </si>
  <si>
    <t>Census Tract 7148.01, Stark County, Ohio</t>
  </si>
  <si>
    <t>Census Tract 7148.02, Stark County, Ohio</t>
  </si>
  <si>
    <t>Census Tract 7149.01, Stark County, Ohio</t>
  </si>
  <si>
    <t>Census Tract 7149.02, Stark County, Ohio</t>
  </si>
  <si>
    <t>Census Tract 7150, Stark County, Ohio</t>
  </si>
  <si>
    <t>Census Tract 5011, Summit County, Ohio</t>
  </si>
  <si>
    <t>Census Tract 5017, Summit County, Ohio</t>
  </si>
  <si>
    <t>Census Tract 5018, Summit County, Ohio</t>
  </si>
  <si>
    <t>Census Tract 5019, Summit County, Ohio</t>
  </si>
  <si>
    <t>Census Tract 5021.01, Summit County, Ohio</t>
  </si>
  <si>
    <t>Census Tract 5021.02, Summit County, Ohio</t>
  </si>
  <si>
    <t>Census Tract 5022, Summit County, Ohio</t>
  </si>
  <si>
    <t>Census Tract 5023, Summit County, Ohio</t>
  </si>
  <si>
    <t>Census Tract 5025, Summit County, Ohio</t>
  </si>
  <si>
    <t>Census Tract 5026, Summit County, Ohio</t>
  </si>
  <si>
    <t>Census Tract 5027, Summit County, Ohio</t>
  </si>
  <si>
    <t>Census Tract 5028, Summit County, Ohio</t>
  </si>
  <si>
    <t>Census Tract 5031, Summit County, Ohio</t>
  </si>
  <si>
    <t>Census Tract 5032, Summit County, Ohio</t>
  </si>
  <si>
    <t>Census Tract 5033, Summit County, Ohio</t>
  </si>
  <si>
    <t>Census Tract 5034, Summit County, Ohio</t>
  </si>
  <si>
    <t>Census Tract 5035, Summit County, Ohio</t>
  </si>
  <si>
    <t>Census Tract 5036, Summit County, Ohio</t>
  </si>
  <si>
    <t>Census Tract 5037.01, Summit County, Ohio</t>
  </si>
  <si>
    <t>Census Tract 5037.02, Summit County, Ohio</t>
  </si>
  <si>
    <t>Census Tract 5038, Summit County, Ohio</t>
  </si>
  <si>
    <t>Census Tract 5041, Summit County, Ohio</t>
  </si>
  <si>
    <t>Census Tract 5042, Summit County, Ohio</t>
  </si>
  <si>
    <t>Census Tract 5044, Summit County, Ohio</t>
  </si>
  <si>
    <t>Census Tract 5045, Summit County, Ohio</t>
  </si>
  <si>
    <t>Census Tract 5046, Summit County, Ohio</t>
  </si>
  <si>
    <t>Census Tract 5047, Summit County, Ohio</t>
  </si>
  <si>
    <t>Census Tract 5048, Summit County, Ohio</t>
  </si>
  <si>
    <t>Census Tract 5052, Summit County, Ohio</t>
  </si>
  <si>
    <t>Census Tract 5053, Summit County, Ohio</t>
  </si>
  <si>
    <t>Census Tract 5054, Summit County, Ohio</t>
  </si>
  <si>
    <t>Census Tract 5055, Summit County, Ohio</t>
  </si>
  <si>
    <t>Census Tract 5056, Summit County, Ohio</t>
  </si>
  <si>
    <t>Census Tract 5057, Summit County, Ohio</t>
  </si>
  <si>
    <t>Census Tract 5058, Summit County, Ohio</t>
  </si>
  <si>
    <t>Census Tract 5059, Summit County, Ohio</t>
  </si>
  <si>
    <t>Census Tract 5061, Summit County, Ohio</t>
  </si>
  <si>
    <t>Census Tract 5062, Summit County, Ohio</t>
  </si>
  <si>
    <t>Census Tract 5064, Summit County, Ohio</t>
  </si>
  <si>
    <t>Census Tract 5065, Summit County, Ohio</t>
  </si>
  <si>
    <t>Census Tract 5066, Summit County, Ohio</t>
  </si>
  <si>
    <t>Census Tract 5067, Summit County, Ohio</t>
  </si>
  <si>
    <t>Census Tract 5068, Summit County, Ohio</t>
  </si>
  <si>
    <t>Census Tract 5071.01, Summit County, Ohio</t>
  </si>
  <si>
    <t>Census Tract 5071.02, Summit County, Ohio</t>
  </si>
  <si>
    <t>Census Tract 5072.01, Summit County, Ohio</t>
  </si>
  <si>
    <t>Census Tract 5072.02, Summit County, Ohio</t>
  </si>
  <si>
    <t>Census Tract 5072.03, Summit County, Ohio</t>
  </si>
  <si>
    <t>Census Tract 5073, Summit County, Ohio</t>
  </si>
  <si>
    <t>Census Tract 5074, Summit County, Ohio</t>
  </si>
  <si>
    <t>Census Tract 5075, Summit County, Ohio</t>
  </si>
  <si>
    <t>Census Tract 5076, Summit County, Ohio</t>
  </si>
  <si>
    <t>Census Tract 5080, Summit County, Ohio</t>
  </si>
  <si>
    <t>Census Tract 5083.01, Summit County, Ohio</t>
  </si>
  <si>
    <t>Census Tract 5083.99, Summit County, Ohio</t>
  </si>
  <si>
    <t>Census Tract 5086, Summit County, Ohio</t>
  </si>
  <si>
    <t>Census Tract 5088, Summit County, Ohio</t>
  </si>
  <si>
    <t>Census Tract 5089, Summit County, Ohio</t>
  </si>
  <si>
    <t>Census Tract 5090, Summit County, Ohio</t>
  </si>
  <si>
    <t>Census Tract 5101, Summit County, Ohio</t>
  </si>
  <si>
    <t>Census Tract 5102, Summit County, Ohio</t>
  </si>
  <si>
    <t>Census Tract 5103.01, Summit County, Ohio</t>
  </si>
  <si>
    <t>Census Tract 5103.02, Summit County, Ohio</t>
  </si>
  <si>
    <t>Census Tract 5104, Summit County, Ohio</t>
  </si>
  <si>
    <t>Census Tract 5105, Summit County, Ohio</t>
  </si>
  <si>
    <t>Census Tract 5201.03, Summit County, Ohio</t>
  </si>
  <si>
    <t>Census Tract 5201.04, Summit County, Ohio</t>
  </si>
  <si>
    <t>Census Tract 5201.05, Summit County, Ohio</t>
  </si>
  <si>
    <t>Census Tract 5201.06, Summit County, Ohio</t>
  </si>
  <si>
    <t>Census Tract 5202.01, Summit County, Ohio</t>
  </si>
  <si>
    <t>Census Tract 5202.02, Summit County, Ohio</t>
  </si>
  <si>
    <t>Census Tract 5203.01, Summit County, Ohio</t>
  </si>
  <si>
    <t>Census Tract 5203.02, Summit County, Ohio</t>
  </si>
  <si>
    <t>Census Tract 5204, Summit County, Ohio</t>
  </si>
  <si>
    <t>Census Tract 5205, Summit County, Ohio</t>
  </si>
  <si>
    <t>Census Tract 5206, Summit County, Ohio</t>
  </si>
  <si>
    <t>Census Tract 5301.01, Summit County, Ohio</t>
  </si>
  <si>
    <t>Census Tract 5301.03, Summit County, Ohio</t>
  </si>
  <si>
    <t>Census Tract 5301.04, Summit County, Ohio</t>
  </si>
  <si>
    <t>Census Tract 5301.05, Summit County, Ohio</t>
  </si>
  <si>
    <t>Census Tract 5301.08, Summit County, Ohio</t>
  </si>
  <si>
    <t>Census Tract 5304.01, Summit County, Ohio</t>
  </si>
  <si>
    <t>Census Tract 5304.02, Summit County, Ohio</t>
  </si>
  <si>
    <t>Census Tract 5305.01, Summit County, Ohio</t>
  </si>
  <si>
    <t>Census Tract 5305.02, Summit County, Ohio</t>
  </si>
  <si>
    <t>Census Tract 5306.03, Summit County, Ohio</t>
  </si>
  <si>
    <t>Census Tract 5306.04, Summit County, Ohio</t>
  </si>
  <si>
    <t>Census Tract 5306.05, Summit County, Ohio</t>
  </si>
  <si>
    <t>Census Tract 5306.06, Summit County, Ohio</t>
  </si>
  <si>
    <t>Census Tract 5307, Summit County, Ohio</t>
  </si>
  <si>
    <t>Census Tract 5308, Summit County, Ohio</t>
  </si>
  <si>
    <t>Census Tract 5309.01, Summit County, Ohio</t>
  </si>
  <si>
    <t>Census Tract 5309.02, Summit County, Ohio</t>
  </si>
  <si>
    <t>Census Tract 5309.03, Summit County, Ohio</t>
  </si>
  <si>
    <t>Census Tract 5310.01, Summit County, Ohio</t>
  </si>
  <si>
    <t>Census Tract 5310.02, Summit County, Ohio</t>
  </si>
  <si>
    <t>Census Tract 5311.01, Summit County, Ohio</t>
  </si>
  <si>
    <t>Census Tract 5311.02, Summit County, Ohio</t>
  </si>
  <si>
    <t>Census Tract 5311.03, Summit County, Ohio</t>
  </si>
  <si>
    <t>Census Tract 5314.01, Summit County, Ohio</t>
  </si>
  <si>
    <t>Census Tract 5314.05, Summit County, Ohio</t>
  </si>
  <si>
    <t>Census Tract 5315, Summit County, Ohio</t>
  </si>
  <si>
    <t>Census Tract 5316.01, Summit County, Ohio</t>
  </si>
  <si>
    <t>Census Tract 5316.02, Summit County, Ohio</t>
  </si>
  <si>
    <t>Census Tract 5317.01, Summit County, Ohio</t>
  </si>
  <si>
    <t>Census Tract 5317.02, Summit County, Ohio</t>
  </si>
  <si>
    <t>Census Tract 5318.01, Summit County, Ohio</t>
  </si>
  <si>
    <t>Census Tract 5318.02, Summit County, Ohio</t>
  </si>
  <si>
    <t>Census Tract 5320.01, Summit County, Ohio</t>
  </si>
  <si>
    <t>Census Tract 5320.03, Summit County, Ohio</t>
  </si>
  <si>
    <t>Census Tract 5320.04, Summit County, Ohio</t>
  </si>
  <si>
    <t>Census Tract 5322.02, Summit County, Ohio</t>
  </si>
  <si>
    <t>Census Tract 5323.01, Summit County, Ohio</t>
  </si>
  <si>
    <t>Census Tract 5323.02, Summit County, Ohio</t>
  </si>
  <si>
    <t>Census Tract 5325.01, Summit County, Ohio</t>
  </si>
  <si>
    <t>Census Tract 5325.02, Summit County, Ohio</t>
  </si>
  <si>
    <t>Census Tract 5326, Summit County, Ohio</t>
  </si>
  <si>
    <t>Census Tract 5327.01, Summit County, Ohio</t>
  </si>
  <si>
    <t>Census Tract 5327.02, Summit County, Ohio</t>
  </si>
  <si>
    <t>Census Tract 5327.03, Summit County, Ohio</t>
  </si>
  <si>
    <t>Census Tract 5327.05, Summit County, Ohio</t>
  </si>
  <si>
    <t>Census Tract 5327.06, Summit County, Ohio</t>
  </si>
  <si>
    <t>Census Tract 5327.08, Summit County, Ohio</t>
  </si>
  <si>
    <t>Census Tract 5329.01, Summit County, Ohio</t>
  </si>
  <si>
    <t>Census Tract 5329.02, Summit County, Ohio</t>
  </si>
  <si>
    <t>Census Tract 5329.99, Summit County, Ohio</t>
  </si>
  <si>
    <t>Census Tract 5330, Summit County, Ohio</t>
  </si>
  <si>
    <t>Census Tract 5331.01, Summit County, Ohio</t>
  </si>
  <si>
    <t>Census Tract 5331.02, Summit County, Ohio</t>
  </si>
  <si>
    <t>Census Tract 5332, Summit County, Ohio</t>
  </si>
  <si>
    <t>Census Tract 5334, Summit County, Ohio</t>
  </si>
  <si>
    <t>Census Tract 5335.01, Summit County, Ohio</t>
  </si>
  <si>
    <t>Census Tract 5335.02, Summit County, Ohio</t>
  </si>
  <si>
    <t>Census Tract 5340, Summit County, Ohio</t>
  </si>
  <si>
    <t>Census Tract 5341, Summit County, Ohio</t>
  </si>
  <si>
    <t>Census Tract 9203, Trumbull County, Ohio</t>
  </si>
  <si>
    <t>Census Tract 9204, Trumbull County, Ohio</t>
  </si>
  <si>
    <t>Census Tract 9205, Trumbull County, Ohio</t>
  </si>
  <si>
    <t>Census Tract 9206, Trumbull County, Ohio</t>
  </si>
  <si>
    <t>Census Tract 9207, Trumbull County, Ohio</t>
  </si>
  <si>
    <t>Census Tract 9208, Trumbull County, Ohio</t>
  </si>
  <si>
    <t>Census Tract 9209, Trumbull County, Ohio</t>
  </si>
  <si>
    <t>Census Tract 9210, Trumbull County, Ohio</t>
  </si>
  <si>
    <t>Census Tract 9211, Trumbull County, Ohio</t>
  </si>
  <si>
    <t>Census Tract 9212, Trumbull County, Ohio</t>
  </si>
  <si>
    <t>Census Tract 9213, Trumbull County, Ohio</t>
  </si>
  <si>
    <t>Census Tract 9214, Trumbull County, Ohio</t>
  </si>
  <si>
    <t>Census Tract 9215, Trumbull County, Ohio</t>
  </si>
  <si>
    <t>Census Tract 9216, Trumbull County, Ohio</t>
  </si>
  <si>
    <t>Census Tract 9301.01, Trumbull County, Ohio</t>
  </si>
  <si>
    <t>Census Tract 9301.02, Trumbull County, Ohio</t>
  </si>
  <si>
    <t>Census Tract 9302, Trumbull County, Ohio</t>
  </si>
  <si>
    <t>Census Tract 9303, Trumbull County, Ohio</t>
  </si>
  <si>
    <t>Census Tract 9304, Trumbull County, Ohio</t>
  </si>
  <si>
    <t>Census Tract 9305, Trumbull County, Ohio</t>
  </si>
  <si>
    <t>Census Tract 9306, Trumbull County, Ohio</t>
  </si>
  <si>
    <t>Census Tract 9307, Trumbull County, Ohio</t>
  </si>
  <si>
    <t>Census Tract 9308, Trumbull County, Ohio</t>
  </si>
  <si>
    <t>Census Tract 9309, Trumbull County, Ohio</t>
  </si>
  <si>
    <t>Census Tract 9310, Trumbull County, Ohio</t>
  </si>
  <si>
    <t>Census Tract 9311, Trumbull County, Ohio</t>
  </si>
  <si>
    <t>Census Tract 9312, Trumbull County, Ohio</t>
  </si>
  <si>
    <t>Census Tract 9313, Trumbull County, Ohio</t>
  </si>
  <si>
    <t>Census Tract 9314, Trumbull County, Ohio</t>
  </si>
  <si>
    <t>Census Tract 9315, Trumbull County, Ohio</t>
  </si>
  <si>
    <t>Census Tract 9316.01, Trumbull County, Ohio</t>
  </si>
  <si>
    <t>Census Tract 9316.02, Trumbull County, Ohio</t>
  </si>
  <si>
    <t>Census Tract 9317, Trumbull County, Ohio</t>
  </si>
  <si>
    <t>Census Tract 9319, Trumbull County, Ohio</t>
  </si>
  <si>
    <t>Census Tract 9320, Trumbull County, Ohio</t>
  </si>
  <si>
    <t>Census Tract 9322, Trumbull County, Ohio</t>
  </si>
  <si>
    <t>Census Tract 9323, Trumbull County, Ohio</t>
  </si>
  <si>
    <t>Census Tract 9325, Trumbull County, Ohio</t>
  </si>
  <si>
    <t>Census Tract 9326, Trumbull County, Ohio</t>
  </si>
  <si>
    <t>Census Tract 9327.01, Trumbull County, Ohio</t>
  </si>
  <si>
    <t>Census Tract 9327.02, Trumbull County, Ohio</t>
  </si>
  <si>
    <t>Census Tract 9328.01, Trumbull County, Ohio</t>
  </si>
  <si>
    <t>Census Tract 9328.02, Trumbull County, Ohio</t>
  </si>
  <si>
    <t>Census Tract 9329, Trumbull County, Ohio</t>
  </si>
  <si>
    <t>Census Tract 9330.01, Trumbull County, Ohio</t>
  </si>
  <si>
    <t>Census Tract 9330.02, Trumbull County, Ohio</t>
  </si>
  <si>
    <t>Census Tract 9331, Trumbull County, Ohio</t>
  </si>
  <si>
    <t>Census Tract 9333.01, Trumbull County, Ohio</t>
  </si>
  <si>
    <t>Census Tract 9333.02, Trumbull County, Ohio</t>
  </si>
  <si>
    <t>Census Tract 9334, Trumbull County, Ohio</t>
  </si>
  <si>
    <t>Census Tract 9335, Trumbull County, Ohio</t>
  </si>
  <si>
    <t>Census Tract 9336, Trumbull County, Ohio</t>
  </si>
  <si>
    <t>Census Tract 9337, Trumbull County, Ohio</t>
  </si>
  <si>
    <t>Census Tract 9338, Trumbull County, Ohio</t>
  </si>
  <si>
    <t>Census Tract 9339, Trumbull County, Ohio</t>
  </si>
  <si>
    <t>Census Tract 201, Tuscarawas County, Ohio</t>
  </si>
  <si>
    <t>Census Tract 202, Tuscarawas County, Ohio</t>
  </si>
  <si>
    <t>Census Tract 203, Tuscarawas County, Ohio</t>
  </si>
  <si>
    <t>Census Tract 204, Tuscarawas County, Ohio</t>
  </si>
  <si>
    <t>Census Tract 205, Tuscarawas County, Ohio</t>
  </si>
  <si>
    <t>Census Tract 206, Tuscarawas County, Ohio</t>
  </si>
  <si>
    <t>Census Tract 207, Tuscarawas County, Ohio</t>
  </si>
  <si>
    <t>Census Tract 208, Tuscarawas County, Ohio</t>
  </si>
  <si>
    <t>Census Tract 209, Tuscarawas County, Ohio</t>
  </si>
  <si>
    <t>Census Tract 210, Tuscarawas County, Ohio</t>
  </si>
  <si>
    <t>Census Tract 211, Tuscarawas County, Ohio</t>
  </si>
  <si>
    <t>Census Tract 212, Tuscarawas County, Ohio</t>
  </si>
  <si>
    <t>Census Tract 213, Tuscarawas County, Ohio</t>
  </si>
  <si>
    <t>Census Tract 214, Tuscarawas County, Ohio</t>
  </si>
  <si>
    <t>Census Tract 215, Tuscarawas County, Ohio</t>
  </si>
  <si>
    <t>Census Tract 216, Tuscarawas County, Ohio</t>
  </si>
  <si>
    <t>Census Tract 217, Tuscarawas County, Ohio</t>
  </si>
  <si>
    <t>Census Tract 218, Tuscarawas County, Ohio</t>
  </si>
  <si>
    <t>Census Tract 219, Tuscarawas County, Ohio</t>
  </si>
  <si>
    <t>Census Tract 220.01, Tuscarawas County, Ohio</t>
  </si>
  <si>
    <t>Census Tract 220.02, Tuscarawas County, Ohio</t>
  </si>
  <si>
    <t>Census Tract 501, Union County, Ohio</t>
  </si>
  <si>
    <t>Census Tract 502, Union County, Ohio</t>
  </si>
  <si>
    <t>Census Tract 503.01, Union County, Ohio</t>
  </si>
  <si>
    <t>Census Tract 503.03, Union County, Ohio</t>
  </si>
  <si>
    <t>Census Tract 503.04, Union County, Ohio</t>
  </si>
  <si>
    <t>Census Tract 504, Union County, Ohio</t>
  </si>
  <si>
    <t>Census Tract 505, Union County, Ohio</t>
  </si>
  <si>
    <t>Census Tract 506.01, Union County, Ohio</t>
  </si>
  <si>
    <t>Census Tract 506.02, Union County, Ohio</t>
  </si>
  <si>
    <t>Census Tract 507, Union County, Ohio</t>
  </si>
  <si>
    <t>Census Tract 201, Van Wert County, Ohio</t>
  </si>
  <si>
    <t>Census Tract 202, Van Wert County, Ohio</t>
  </si>
  <si>
    <t>Census Tract 203, Van Wert County, Ohio</t>
  </si>
  <si>
    <t>Census Tract 204, Van Wert County, Ohio</t>
  </si>
  <si>
    <t>Census Tract 205, Van Wert County, Ohio</t>
  </si>
  <si>
    <t>Census Tract 206, Van Wert County, Ohio</t>
  </si>
  <si>
    <t>Census Tract 207, Van Wert County, Ohio</t>
  </si>
  <si>
    <t>Census Tract 208, Van Wert County, Ohio</t>
  </si>
  <si>
    <t>Census Tract 209, Van Wert County, Ohio</t>
  </si>
  <si>
    <t>Census Tract 9530, Vinton County, Ohio</t>
  </si>
  <si>
    <t>Census Tract 9531, Vinton County, Ohio</t>
  </si>
  <si>
    <t>Census Tract 9532, Vinton County, Ohio</t>
  </si>
  <si>
    <t>Census Tract 301.01, Warren County, Ohio</t>
  </si>
  <si>
    <t>Census Tract 301.02, Warren County, Ohio</t>
  </si>
  <si>
    <t>Census Tract 302, Warren County, Ohio</t>
  </si>
  <si>
    <t>Census Tract 305.01, Warren County, Ohio</t>
  </si>
  <si>
    <t>Census Tract 305.03, Warren County, Ohio</t>
  </si>
  <si>
    <t>Census Tract 305.04, Warren County, Ohio</t>
  </si>
  <si>
    <t>Census Tract 306, Warren County, Ohio</t>
  </si>
  <si>
    <t>Census Tract 307, Warren County, Ohio</t>
  </si>
  <si>
    <t>Census Tract 308, Warren County, Ohio</t>
  </si>
  <si>
    <t>Census Tract 309, Warren County, Ohio</t>
  </si>
  <si>
    <t>Census Tract 310, Warren County, Ohio</t>
  </si>
  <si>
    <t>Census Tract 311, Warren County, Ohio</t>
  </si>
  <si>
    <t>Census Tract 312, Warren County, Ohio</t>
  </si>
  <si>
    <t>Census Tract 313, Warren County, Ohio</t>
  </si>
  <si>
    <t>Census Tract 314, Warren County, Ohio</t>
  </si>
  <si>
    <t>Census Tract 315, Warren County, Ohio</t>
  </si>
  <si>
    <t>Census Tract 316, Warren County, Ohio</t>
  </si>
  <si>
    <t>Census Tract 317, Warren County, Ohio</t>
  </si>
  <si>
    <t>Census Tract 319.02, Warren County, Ohio</t>
  </si>
  <si>
    <t>Census Tract 319.03, Warren County, Ohio</t>
  </si>
  <si>
    <t>Census Tract 319.04, Warren County, Ohio</t>
  </si>
  <si>
    <t>Census Tract 320.03, Warren County, Ohio</t>
  </si>
  <si>
    <t>Census Tract 320.04, Warren County, Ohio</t>
  </si>
  <si>
    <t>Census Tract 320.05, Warren County, Ohio</t>
  </si>
  <si>
    <t>Census Tract 320.06, Warren County, Ohio</t>
  </si>
  <si>
    <t>Census Tract 320.07, Warren County, Ohio</t>
  </si>
  <si>
    <t>Census Tract 321, Warren County, Ohio</t>
  </si>
  <si>
    <t>Census Tract 322.01, Warren County, Ohio</t>
  </si>
  <si>
    <t>Census Tract 322.02, Warren County, Ohio</t>
  </si>
  <si>
    <t>Census Tract 323, Warren County, Ohio</t>
  </si>
  <si>
    <t>Census Tract 324, Warren County, Ohio</t>
  </si>
  <si>
    <t>Census Tract 325.01, Warren County, Ohio</t>
  </si>
  <si>
    <t>Census Tract 325.02, Warren County, Ohio</t>
  </si>
  <si>
    <t>Census Tract 201.01, Washington County, Ohio</t>
  </si>
  <si>
    <t>Census Tract 201.02, Washington County, Ohio</t>
  </si>
  <si>
    <t>Census Tract 202, Washington County, Ohio</t>
  </si>
  <si>
    <t>Census Tract 203, Washington County, Ohio</t>
  </si>
  <si>
    <t>Census Tract 204, Washington County, Ohio</t>
  </si>
  <si>
    <t>Census Tract 205, Washington County, Ohio</t>
  </si>
  <si>
    <t>Census Tract 208, Washington County, Ohio</t>
  </si>
  <si>
    <t>Census Tract 209, Washington County, Ohio</t>
  </si>
  <si>
    <t>Census Tract 210, Washington County, Ohio</t>
  </si>
  <si>
    <t>Census Tract 211, Washington County, Ohio</t>
  </si>
  <si>
    <t>Census Tract 212, Washington County, Ohio</t>
  </si>
  <si>
    <t>Census Tract 213, Washington County, Ohio</t>
  </si>
  <si>
    <t>Census Tract 214, Washington County, Ohio</t>
  </si>
  <si>
    <t>Census Tract 215, Washington County, Ohio</t>
  </si>
  <si>
    <t>Census Tract 216, Washington County, Ohio</t>
  </si>
  <si>
    <t>Census Tract 217, Washington County, Ohio</t>
  </si>
  <si>
    <t>Census Tract 1, Wayne County, Ohio</t>
  </si>
  <si>
    <t>Census Tract 2, Wayne County, Ohio</t>
  </si>
  <si>
    <t>Census Tract 3, Wayne County, Ohio</t>
  </si>
  <si>
    <t>Census Tract 5, Wayne County, Ohio</t>
  </si>
  <si>
    <t>Census Tract 6, Wayne County, Ohio</t>
  </si>
  <si>
    <t>Census Tract 7, Wayne County, Ohio</t>
  </si>
  <si>
    <t>Census Tract 8, Wayne County, Ohio</t>
  </si>
  <si>
    <t>Census Tract 9, Wayne County, Ohio</t>
  </si>
  <si>
    <t>Census Tract 10, Wayne County, Ohio</t>
  </si>
  <si>
    <t>Census Tract 11, Wayne County, Ohio</t>
  </si>
  <si>
    <t>Census Tract 12, Wayne County, Ohio</t>
  </si>
  <si>
    <t>Census Tract 13, Wayne County, Ohio</t>
  </si>
  <si>
    <t>Census Tract 14, Wayne County, Ohio</t>
  </si>
  <si>
    <t>Census Tract 17, Wayne County, Ohio</t>
  </si>
  <si>
    <t>Census Tract 18, Wayne County, Ohio</t>
  </si>
  <si>
    <t>Census Tract 19, Wayne County, Ohio</t>
  </si>
  <si>
    <t>Census Tract 20, Wayne County, Ohio</t>
  </si>
  <si>
    <t>Census Tract 21, Wayne County, Ohio</t>
  </si>
  <si>
    <t>Census Tract 22, Wayne County, Ohio</t>
  </si>
  <si>
    <t>Census Tract 23, Wayne County, Ohio</t>
  </si>
  <si>
    <t>Census Tract 24, Wayne County, Ohio</t>
  </si>
  <si>
    <t>Census Tract 25, Wayne County, Ohio</t>
  </si>
  <si>
    <t>Census Tract 29.01, Wayne County, Ohio</t>
  </si>
  <si>
    <t>Census Tract 29.02, Wayne County, Ohio</t>
  </si>
  <si>
    <t>Census Tract 30, Wayne County, Ohio</t>
  </si>
  <si>
    <t>Census Tract 31, Wayne County, Ohio</t>
  </si>
  <si>
    <t>Census Tract 32, Wayne County, Ohio</t>
  </si>
  <si>
    <t>Census Tract 33, Wayne County, Ohio</t>
  </si>
  <si>
    <t>Census Tract 34, Wayne County, Ohio</t>
  </si>
  <si>
    <t>Census Tract 35, Wayne County, Ohio</t>
  </si>
  <si>
    <t>Census Tract 37, Wayne County, Ohio</t>
  </si>
  <si>
    <t>Census Tract 9800, Wayne County, Ohio</t>
  </si>
  <si>
    <t>Census Tract 9501, Williams County, Ohio</t>
  </si>
  <si>
    <t>Census Tract 9502, Williams County, Ohio</t>
  </si>
  <si>
    <t>Census Tract 9503, Williams County, Ohio</t>
  </si>
  <si>
    <t>Census Tract 9504, Williams County, Ohio</t>
  </si>
  <si>
    <t>Census Tract 9505, Williams County, Ohio</t>
  </si>
  <si>
    <t>Census Tract 9506, Williams County, Ohio</t>
  </si>
  <si>
    <t>Census Tract 9507, Williams County, Ohio</t>
  </si>
  <si>
    <t>Census Tract 9508, Williams County, Ohio</t>
  </si>
  <si>
    <t>Census Tract 9509, Williams County, Ohio</t>
  </si>
  <si>
    <t>Census Tract 201, Wood County, Ohio</t>
  </si>
  <si>
    <t>Census Tract 202, Wood County, Ohio</t>
  </si>
  <si>
    <t>Census Tract 203, Wood County, Ohio</t>
  </si>
  <si>
    <t>Census Tract 204.01, Wood County, Ohio</t>
  </si>
  <si>
    <t>Census Tract 204.02, Wood County, Ohio</t>
  </si>
  <si>
    <t>Census Tract 205, Wood County, Ohio</t>
  </si>
  <si>
    <t>Census Tract 206.01, Wood County, Ohio</t>
  </si>
  <si>
    <t>Census Tract 206.02, Wood County, Ohio</t>
  </si>
  <si>
    <t>Census Tract 207, Wood County, Ohio</t>
  </si>
  <si>
    <t>Census Tract 208, Wood County, Ohio</t>
  </si>
  <si>
    <t>Census Tract 209, Wood County, Ohio</t>
  </si>
  <si>
    <t>Census Tract 210, Wood County, Ohio</t>
  </si>
  <si>
    <t>Census Tract 211, Wood County, Ohio</t>
  </si>
  <si>
    <t>Census Tract 212, Wood County, Ohio</t>
  </si>
  <si>
    <t>Census Tract 213, Wood County, Ohio</t>
  </si>
  <si>
    <t>Census Tract 214, Wood County, Ohio</t>
  </si>
  <si>
    <t>Census Tract 215, Wood County, Ohio</t>
  </si>
  <si>
    <t>Census Tract 216, Wood County, Ohio</t>
  </si>
  <si>
    <t>Census Tract 217.01, Wood County, Ohio</t>
  </si>
  <si>
    <t>Census Tract 217.02, Wood County, Ohio</t>
  </si>
  <si>
    <t>Census Tract 218, Wood County, Ohio</t>
  </si>
  <si>
    <t>Census Tract 219.01, Wood County, Ohio</t>
  </si>
  <si>
    <t>Census Tract 219.02, Wood County, Ohio</t>
  </si>
  <si>
    <t>Census Tract 221, Wood County, Ohio</t>
  </si>
  <si>
    <t>Census Tract 222, Wood County, Ohio</t>
  </si>
  <si>
    <t>Census Tract 223, Wood County, Ohio</t>
  </si>
  <si>
    <t>Census Tract 224, Wood County, Ohio</t>
  </si>
  <si>
    <t>Census Tract 225, Wood County, Ohio</t>
  </si>
  <si>
    <t>Census Tract 9380, Wyandot County, Ohio</t>
  </si>
  <si>
    <t>Census Tract 9381, Wyandot County, Ohio</t>
  </si>
  <si>
    <t>Census Tract 9382, Wyandot County, Ohio</t>
  </si>
  <si>
    <t>Census Tract 9383, Wyandot County, Ohio</t>
  </si>
  <si>
    <t>Census Tract 9384, Wyandot County, Ohio</t>
  </si>
  <si>
    <t>Census Tract 9385, Wyandot County, Ohio</t>
  </si>
  <si>
    <t>CensusTract</t>
  </si>
  <si>
    <t>Opportunity Rating</t>
  </si>
  <si>
    <t>Change Index Rating</t>
  </si>
  <si>
    <t>Census Tract 67, KNox County, Ohio</t>
  </si>
  <si>
    <t>Census Tract 68.01, KNox County, Ohio</t>
  </si>
  <si>
    <t>Census Tract 68.02, KNox County, Ohio</t>
  </si>
  <si>
    <t>Census Tract 69, KNox County, Ohio</t>
  </si>
  <si>
    <t>Census Tract 70, KNox County, Ohio</t>
  </si>
  <si>
    <t>Census Tract 71, KNox County, Ohio</t>
  </si>
  <si>
    <t>Census Tract 72, KNox County, Ohio</t>
  </si>
  <si>
    <t>Census Tract 73, KNox County, Ohio</t>
  </si>
  <si>
    <t>Census Tract 74, KNox County, Ohio</t>
  </si>
  <si>
    <t>Census Tract 75, KNox County, Ohio</t>
  </si>
  <si>
    <t>Census Tract 76, KNox County, Ohio</t>
  </si>
  <si>
    <t>Census Tract 77, KNox County, Ohio</t>
  </si>
  <si>
    <t>Adams</t>
  </si>
  <si>
    <t>Yes</t>
  </si>
  <si>
    <t>Allen</t>
  </si>
  <si>
    <t>No</t>
  </si>
  <si>
    <t>Ashland</t>
  </si>
  <si>
    <t>Ashtabula</t>
  </si>
  <si>
    <t>Athens</t>
  </si>
  <si>
    <t>Auglaize</t>
  </si>
  <si>
    <t>Belmont</t>
  </si>
  <si>
    <t>Brown</t>
  </si>
  <si>
    <t>Butler</t>
  </si>
  <si>
    <t>Carroll</t>
  </si>
  <si>
    <t>Champaign</t>
  </si>
  <si>
    <t>Clark</t>
  </si>
  <si>
    <t>Clermont</t>
  </si>
  <si>
    <t>Clinton</t>
  </si>
  <si>
    <t>Columbiana</t>
  </si>
  <si>
    <t>Coshocton</t>
  </si>
  <si>
    <t>Crawford</t>
  </si>
  <si>
    <t>Cuyahoga</t>
  </si>
  <si>
    <t>Darke</t>
  </si>
  <si>
    <t>Defiance</t>
  </si>
  <si>
    <t>Delaware</t>
  </si>
  <si>
    <t>Erie</t>
  </si>
  <si>
    <t>Fairfield</t>
  </si>
  <si>
    <t>Fayette</t>
  </si>
  <si>
    <t>Franklin</t>
  </si>
  <si>
    <t>Fulton</t>
  </si>
  <si>
    <t>Gallia</t>
  </si>
  <si>
    <t>Geauga</t>
  </si>
  <si>
    <t>Greene</t>
  </si>
  <si>
    <t>Guernsey</t>
  </si>
  <si>
    <t>Hamilton</t>
  </si>
  <si>
    <t>Hancock</t>
  </si>
  <si>
    <t>Hardin</t>
  </si>
  <si>
    <t>Harrison</t>
  </si>
  <si>
    <t>Henry</t>
  </si>
  <si>
    <t>Highland</t>
  </si>
  <si>
    <t>Hocking</t>
  </si>
  <si>
    <t>Holmes</t>
  </si>
  <si>
    <t>Huron</t>
  </si>
  <si>
    <t>Jackson</t>
  </si>
  <si>
    <t>Jefferson</t>
  </si>
  <si>
    <t>Lake</t>
  </si>
  <si>
    <t>Lawrence</t>
  </si>
  <si>
    <t>Licking</t>
  </si>
  <si>
    <t>Logan</t>
  </si>
  <si>
    <t>Lorain</t>
  </si>
  <si>
    <t>Lucas</t>
  </si>
  <si>
    <t>Madison</t>
  </si>
  <si>
    <t>Mahoning</t>
  </si>
  <si>
    <t>Marion</t>
  </si>
  <si>
    <t>Medina</t>
  </si>
  <si>
    <t>Meigs</t>
  </si>
  <si>
    <t>Mercer</t>
  </si>
  <si>
    <t>Miami</t>
  </si>
  <si>
    <t>Monroe</t>
  </si>
  <si>
    <t>Montgomery</t>
  </si>
  <si>
    <t>Morgan</t>
  </si>
  <si>
    <t>Morrow</t>
  </si>
  <si>
    <t>Muskingum</t>
  </si>
  <si>
    <t>Noble</t>
  </si>
  <si>
    <t>Ottawa</t>
  </si>
  <si>
    <t>Paulding</t>
  </si>
  <si>
    <t>Perry</t>
  </si>
  <si>
    <t>Pickaway</t>
  </si>
  <si>
    <t>Pike</t>
  </si>
  <si>
    <t>Portage</t>
  </si>
  <si>
    <t>Preble</t>
  </si>
  <si>
    <t>Putnam</t>
  </si>
  <si>
    <t>Richland</t>
  </si>
  <si>
    <t>Ross</t>
  </si>
  <si>
    <t>Sandusky</t>
  </si>
  <si>
    <t>Scioto</t>
  </si>
  <si>
    <t>Seneca</t>
  </si>
  <si>
    <t>Shelby</t>
  </si>
  <si>
    <t>Stark</t>
  </si>
  <si>
    <t>Summit</t>
  </si>
  <si>
    <t>Trumbull</t>
  </si>
  <si>
    <t>Tuscarawas</t>
  </si>
  <si>
    <t>Union</t>
  </si>
  <si>
    <t>Van Wert</t>
  </si>
  <si>
    <t>Vinton</t>
  </si>
  <si>
    <t>Warren</t>
  </si>
  <si>
    <t>Washington</t>
  </si>
  <si>
    <t>Wayne</t>
  </si>
  <si>
    <t>Williams</t>
  </si>
  <si>
    <t>Wood</t>
  </si>
  <si>
    <t>Wyandot</t>
  </si>
  <si>
    <t>Address</t>
  </si>
  <si>
    <t>City</t>
  </si>
  <si>
    <t>State</t>
  </si>
  <si>
    <t>Salutation</t>
  </si>
  <si>
    <t>Organization Type</t>
  </si>
  <si>
    <t>Federal Tax ID #</t>
  </si>
  <si>
    <t>LP % of Ownership</t>
  </si>
  <si>
    <t>First Name</t>
  </si>
  <si>
    <t>Last Name</t>
  </si>
  <si>
    <t>Title</t>
  </si>
  <si>
    <t>Organization</t>
  </si>
  <si>
    <t>Telephone #</t>
  </si>
  <si>
    <t>Contact Person</t>
  </si>
  <si>
    <t>Email</t>
  </si>
  <si>
    <t>Webpage</t>
  </si>
  <si>
    <t>Project Manager</t>
  </si>
  <si>
    <t>Must have ability to bind the project ownership.</t>
  </si>
  <si>
    <t>501 (c) (3) Organization</t>
  </si>
  <si>
    <t>501 (c) (4) Organization</t>
  </si>
  <si>
    <t>Other</t>
  </si>
  <si>
    <t>Exempt to foster HTC?</t>
  </si>
  <si>
    <r>
      <t xml:space="preserve">Filed under ORC </t>
    </r>
    <r>
      <rPr>
        <sz val="11"/>
        <color theme="1"/>
        <rFont val="Calibri"/>
        <family val="2"/>
      </rPr>
      <t>§</t>
    </r>
    <r>
      <rPr>
        <sz val="11"/>
        <color theme="1"/>
        <rFont val="Arial"/>
        <family val="2"/>
        <scheme val="minor"/>
      </rPr>
      <t>1702</t>
    </r>
  </si>
  <si>
    <t>Years Nonprofit has continually served the county in which the project is located?</t>
  </si>
  <si>
    <t>Is Nonprofit eligible for and will act as nonprofit set-aside per IRC Section 42(h)(5)?</t>
  </si>
  <si>
    <t>Is Nonprofit an OHFA-certified Community Housing Development Organization?</t>
  </si>
  <si>
    <t>Primary Nonprofit Name</t>
  </si>
  <si>
    <t>Secondary Nonprofit Name</t>
  </si>
  <si>
    <t>GP % of Ownership</t>
  </si>
  <si>
    <t>Majority Member</t>
  </si>
  <si>
    <t>Minority Member 2</t>
  </si>
  <si>
    <t>Minority Member 1</t>
  </si>
  <si>
    <t># Residential Projects PIS</t>
  </si>
  <si>
    <t># Residential Units PIS</t>
  </si>
  <si>
    <t># Years Developing HTC</t>
  </si>
  <si>
    <t>Developer Name</t>
  </si>
  <si>
    <t>General Contractor Name</t>
  </si>
  <si>
    <t>Role</t>
  </si>
  <si>
    <t>Firm</t>
  </si>
  <si>
    <t>Phone</t>
  </si>
  <si>
    <t>Engineer</t>
  </si>
  <si>
    <t>Consultant</t>
  </si>
  <si>
    <t>Legal</t>
  </si>
  <si>
    <t>Tax Attorney</t>
  </si>
  <si>
    <t>HDAP</t>
  </si>
  <si>
    <t>TOTAL</t>
  </si>
  <si>
    <t># of Units</t>
  </si>
  <si>
    <t>Total</t>
  </si>
  <si>
    <t>Development Team</t>
  </si>
  <si>
    <t>Project Details</t>
  </si>
  <si>
    <t>Population Served</t>
  </si>
  <si>
    <t>Population</t>
  </si>
  <si>
    <t>Set aside(s) for Formerly Homeless?</t>
  </si>
  <si>
    <t>Set aside(s) for Developmental Disability?</t>
  </si>
  <si>
    <t>Set aside(s) for SPMI?</t>
  </si>
  <si>
    <t>Set aside(s) for Mobility/Sensory Impaired?</t>
  </si>
  <si>
    <t>Set aside(s) for Extremely Low Income?</t>
  </si>
  <si>
    <t>Service Coordinator Name</t>
  </si>
  <si>
    <t>Site &amp; Building Acquisition Information</t>
  </si>
  <si>
    <t>Type of Site Control</t>
  </si>
  <si>
    <t>Type of Construction</t>
  </si>
  <si>
    <t># of Sites Under Control</t>
  </si>
  <si>
    <t># of Sites Proposed to Acquire</t>
  </si>
  <si>
    <t>New Construction</t>
  </si>
  <si>
    <t>Rehabilitation</t>
  </si>
  <si>
    <t>Census Tract</t>
  </si>
  <si>
    <t>Supportive Services?</t>
  </si>
  <si>
    <t># Units</t>
  </si>
  <si>
    <t>% of Site Type Under Control</t>
  </si>
  <si>
    <t>Related Party?</t>
  </si>
  <si>
    <t>Last PIS Date</t>
  </si>
  <si>
    <t>Will the site be subdivided?</t>
  </si>
  <si>
    <t xml:space="preserve">Area of Site (Acres): </t>
  </si>
  <si>
    <t># Occupied Units</t>
  </si>
  <si>
    <t>% of Occupied Units:</t>
  </si>
  <si>
    <t xml:space="preserve">Development Schedule </t>
  </si>
  <si>
    <t>First Building</t>
  </si>
  <si>
    <t>Last Building</t>
  </si>
  <si>
    <t>Unrestricted answer</t>
  </si>
  <si>
    <t>Architect Name</t>
  </si>
  <si>
    <t>Building Type</t>
  </si>
  <si>
    <t xml:space="preserve">Please list all sites under control at time of application. All sites must contain at least one unit, and must have a permanent parcel number listed. Sites that do not have parcel numbers will not be accepted. See the QAP for details regarding site control and scattered site projects. </t>
  </si>
  <si>
    <t># Employee Units</t>
  </si>
  <si>
    <t># Mobility Units</t>
  </si>
  <si>
    <t># Sensory Units</t>
  </si>
  <si>
    <t>1BR</t>
  </si>
  <si>
    <t>2BR</t>
  </si>
  <si>
    <t>3BR</t>
  </si>
  <si>
    <t>4BR+</t>
  </si>
  <si>
    <t># Floors</t>
  </si>
  <si>
    <t>Accessory Buildings</t>
  </si>
  <si>
    <t>Recreation Facilities</t>
  </si>
  <si>
    <t>Commercial Facilities</t>
  </si>
  <si>
    <t># Structures</t>
  </si>
  <si>
    <t>Market Rate Unit Area</t>
  </si>
  <si>
    <t xml:space="preserve">Gross Square Footage of all Buildings </t>
  </si>
  <si>
    <t>Commercial Space Condominium Areas</t>
  </si>
  <si>
    <t>Low Income Unit Area</t>
  </si>
  <si>
    <t>Managers Unit Area</t>
  </si>
  <si>
    <t>Common Area (Public)</t>
  </si>
  <si>
    <t>Common Area (Circulation)</t>
  </si>
  <si>
    <t>Limited Common Area (Private)</t>
  </si>
  <si>
    <t>Support</t>
  </si>
  <si>
    <t>Tenant Storage</t>
  </si>
  <si>
    <t>Major Vertical Penetrations</t>
  </si>
  <si>
    <t>Structured Parking / Garage</t>
  </si>
  <si>
    <t>Basement</t>
  </si>
  <si>
    <t>Non-Low-Income floor area</t>
  </si>
  <si>
    <t>Low Income Floor Area</t>
  </si>
  <si>
    <t>% of Common Area</t>
  </si>
  <si>
    <t>Net Rentable Square Footage</t>
  </si>
  <si>
    <t>Gross Square Footage - Non-Low Income floor area</t>
  </si>
  <si>
    <t>Net Rentable Square Footage/ Total number of Low Income Units</t>
  </si>
  <si>
    <t># BR</t>
  </si>
  <si>
    <t># Bath</t>
  </si>
  <si>
    <t>SQFT</t>
  </si>
  <si>
    <t>Tenant-Paid Rent</t>
  </si>
  <si>
    <t>Tenant-Paid Utilities</t>
  </si>
  <si>
    <t>Rent+Utilities</t>
  </si>
  <si>
    <t>Max Allowable HTC Rent</t>
  </si>
  <si>
    <t>Knox</t>
  </si>
  <si>
    <t>Census Tract Scoring Data</t>
  </si>
  <si>
    <t>County Scoring Data</t>
  </si>
  <si>
    <t>Bedroom</t>
  </si>
  <si>
    <t>30% AMGI</t>
  </si>
  <si>
    <t>35% AMGI</t>
  </si>
  <si>
    <t>50% AMGI</t>
  </si>
  <si>
    <t>60% AMGI</t>
  </si>
  <si>
    <t>Rent Limits + Pro Forma</t>
  </si>
  <si>
    <t>SET1</t>
  </si>
  <si>
    <t>SET2</t>
  </si>
  <si>
    <t>SET3</t>
  </si>
  <si>
    <t>SET4</t>
  </si>
  <si>
    <t>SET5</t>
  </si>
  <si>
    <t>SET6</t>
  </si>
  <si>
    <t>SET7</t>
  </si>
  <si>
    <t>SET8</t>
  </si>
  <si>
    <t>SET9</t>
  </si>
  <si>
    <t>SET10</t>
  </si>
  <si>
    <t>SET11</t>
  </si>
  <si>
    <t>SET12</t>
  </si>
  <si>
    <t>SET13</t>
  </si>
  <si>
    <t>SET14</t>
  </si>
  <si>
    <t>SET15</t>
  </si>
  <si>
    <t>SET16</t>
  </si>
  <si>
    <t>SET17</t>
  </si>
  <si>
    <t>SET18</t>
  </si>
  <si>
    <t>SET19</t>
  </si>
  <si>
    <t>SET20</t>
  </si>
  <si>
    <t>Rental Subsidy</t>
  </si>
  <si>
    <t>Subsidy Type</t>
  </si>
  <si>
    <t>Rent to Project Per Unit</t>
  </si>
  <si>
    <t>Monthly Rent to Project</t>
  </si>
  <si>
    <t>Counties</t>
  </si>
  <si>
    <t xml:space="preserve"> TOTAL</t>
  </si>
  <si>
    <t>Annual Gross Project Income Calculation</t>
  </si>
  <si>
    <t>4BR</t>
  </si>
  <si>
    <t>0BR</t>
  </si>
  <si>
    <t>Vacancy Rate</t>
  </si>
  <si>
    <t>First Year Vacancy Rate</t>
  </si>
  <si>
    <t>Project Location</t>
  </si>
  <si>
    <t>Total Number of Units</t>
  </si>
  <si>
    <t>Annual Vacancy Allowance</t>
  </si>
  <si>
    <t>Rental TOTAL</t>
  </si>
  <si>
    <t>Rental</t>
  </si>
  <si>
    <t>Interest Income</t>
  </si>
  <si>
    <t xml:space="preserve">Interest from Reserve Accounts </t>
  </si>
  <si>
    <t>Financial TOTAL</t>
  </si>
  <si>
    <t>Financial</t>
  </si>
  <si>
    <t>Operating Budget: Annual Income</t>
  </si>
  <si>
    <t>Other Rental Income</t>
  </si>
  <si>
    <t>Other Financial Income</t>
  </si>
  <si>
    <t>Laundry Revenue</t>
  </si>
  <si>
    <t>Tenant Charges/Fees</t>
  </si>
  <si>
    <t>Elderly Care/Service Delivery</t>
  </si>
  <si>
    <t>Other Service Income 1</t>
  </si>
  <si>
    <t>Other Service Income 2</t>
  </si>
  <si>
    <t>Other Service Income 3</t>
  </si>
  <si>
    <t>Service TOTAL</t>
  </si>
  <si>
    <t>Source</t>
  </si>
  <si>
    <t xml:space="preserve">Annual Residential Fee Income </t>
  </si>
  <si>
    <t xml:space="preserve">Annual Other Income </t>
  </si>
  <si>
    <t xml:space="preserve">Annual Commercial Income </t>
  </si>
  <si>
    <t>Effective Gross Income</t>
  </si>
  <si>
    <t>Operating Budget: Annual Expenses</t>
  </si>
  <si>
    <t>Advertising and Marketing</t>
  </si>
  <si>
    <t>Office Expenses</t>
  </si>
  <si>
    <t>Administrative Salaries</t>
  </si>
  <si>
    <t>Telephone</t>
  </si>
  <si>
    <t>Management Fee</t>
  </si>
  <si>
    <t xml:space="preserve">Management Salary </t>
  </si>
  <si>
    <t>Legal Expense</t>
  </si>
  <si>
    <t>Audit Expense</t>
  </si>
  <si>
    <t>Accounting Fees</t>
  </si>
  <si>
    <t>Bad Debts</t>
  </si>
  <si>
    <t>Tenant Relations</t>
  </si>
  <si>
    <t>Misc. Administrative Expenses</t>
  </si>
  <si>
    <t>Administrative</t>
  </si>
  <si>
    <t>Service</t>
  </si>
  <si>
    <t>Admin TOTAL</t>
  </si>
  <si>
    <t>Other Admin 1</t>
  </si>
  <si>
    <t>Other Admin 2</t>
  </si>
  <si>
    <t>Other Admin 3</t>
  </si>
  <si>
    <t>Electricity</t>
  </si>
  <si>
    <t>Water</t>
  </si>
  <si>
    <t>Gas</t>
  </si>
  <si>
    <t>Sewer</t>
  </si>
  <si>
    <t>Cable/Internet</t>
  </si>
  <si>
    <t>Other Utility 1</t>
  </si>
  <si>
    <t>Other Utility 2</t>
  </si>
  <si>
    <t>Utility TOTAL</t>
  </si>
  <si>
    <t>Elevator</t>
  </si>
  <si>
    <t>Garbage/Trash Removal</t>
  </si>
  <si>
    <t>Van Driver Payroll</t>
  </si>
  <si>
    <t>Janitor Payroll</t>
  </si>
  <si>
    <t>Maintenance Payroll</t>
  </si>
  <si>
    <t>Maintenance Supplies</t>
  </si>
  <si>
    <t>Painting and Decorating</t>
  </si>
  <si>
    <t>HVAC Maintenance</t>
  </si>
  <si>
    <t>Snow Removal/Landscaping</t>
  </si>
  <si>
    <t xml:space="preserve">Vehicle Operation and Repairs </t>
  </si>
  <si>
    <t>Rent Concessions/Incentives</t>
  </si>
  <si>
    <t>Extermination</t>
  </si>
  <si>
    <t>Operating/Maintenance TOTAL</t>
  </si>
  <si>
    <t>Operating &amp; Maintenance</t>
  </si>
  <si>
    <t>Operating/Maintenance Contracts</t>
  </si>
  <si>
    <t>Ops Other 1</t>
  </si>
  <si>
    <t>Ops Other 2</t>
  </si>
  <si>
    <t>Ops Other 3</t>
  </si>
  <si>
    <t>Ops Other 4</t>
  </si>
  <si>
    <t>Real Estate Taxes</t>
  </si>
  <si>
    <t>Payroll Taxes</t>
  </si>
  <si>
    <t>Property/Liability Insurance</t>
  </si>
  <si>
    <t>Fidelity Bond Insurance</t>
  </si>
  <si>
    <t>Workers Compensation</t>
  </si>
  <si>
    <t>Health Insurance/Benefits</t>
  </si>
  <si>
    <t>Misc. Taxes/Insurance/License</t>
  </si>
  <si>
    <t>Taxes &amp; Insurance</t>
  </si>
  <si>
    <t>Tax/Ins Other 1</t>
  </si>
  <si>
    <t>Tax/Ins Other 2</t>
  </si>
  <si>
    <t>Tax/Ins Other 3</t>
  </si>
  <si>
    <t>Tax/Insurance TOTAL</t>
  </si>
  <si>
    <t>Replacement Reserves</t>
  </si>
  <si>
    <t>Other 1</t>
  </si>
  <si>
    <t>Other 2</t>
  </si>
  <si>
    <t>Other TOTAL</t>
  </si>
  <si>
    <t>Other 3</t>
  </si>
  <si>
    <t>Total Expenses</t>
  </si>
  <si>
    <t>Net Operating Income</t>
  </si>
  <si>
    <t>Budget Summary</t>
  </si>
  <si>
    <t>Admin Expenses</t>
  </si>
  <si>
    <t>Utility Expenses</t>
  </si>
  <si>
    <t>Op/Maint Expenses</t>
  </si>
  <si>
    <t>Tax/Ins Expenses</t>
  </si>
  <si>
    <t>Other Expenses</t>
  </si>
  <si>
    <t>NOI</t>
  </si>
  <si>
    <t>Operating Budget: Utility Details</t>
  </si>
  <si>
    <t>Utility Expense Source</t>
  </si>
  <si>
    <t xml:space="preserve">Heat </t>
  </si>
  <si>
    <t xml:space="preserve">Electric </t>
  </si>
  <si>
    <t xml:space="preserve">Water </t>
  </si>
  <si>
    <t xml:space="preserve">Sewer </t>
  </si>
  <si>
    <t xml:space="preserve">Trash </t>
  </si>
  <si>
    <t>5BR</t>
  </si>
  <si>
    <t>Tenant-Paid</t>
  </si>
  <si>
    <t>Owner-Paid</t>
  </si>
  <si>
    <t>Construction Financing &amp; Equity Sources</t>
  </si>
  <si>
    <t>Type</t>
  </si>
  <si>
    <t>Source Name</t>
  </si>
  <si>
    <t>Construction Loan</t>
  </si>
  <si>
    <t>Tax Credit Equity</t>
  </si>
  <si>
    <t>Historic Tax Credit Equity</t>
  </si>
  <si>
    <t>Deferred Developer Fee</t>
  </si>
  <si>
    <t>Amount</t>
  </si>
  <si>
    <t>Annual Interest Payment</t>
  </si>
  <si>
    <t>Interest Rate</t>
  </si>
  <si>
    <t>Loan Term (Months)</t>
  </si>
  <si>
    <t>Permanent Financing &amp; Equity Sources</t>
  </si>
  <si>
    <t>Permanent Second Loan</t>
  </si>
  <si>
    <t xml:space="preserve">Is project Mark-to-Market? </t>
  </si>
  <si>
    <t>State the amount of pre-development funding, covered activities/expenses, and funding structure (loan or grant).</t>
  </si>
  <si>
    <t>Cost &amp; Basis Eligibility</t>
  </si>
  <si>
    <t>Acquisition</t>
  </si>
  <si>
    <t xml:space="preserve">Land </t>
  </si>
  <si>
    <t>Land Broker Fees</t>
  </si>
  <si>
    <t xml:space="preserve">Building Acquisition </t>
  </si>
  <si>
    <t xml:space="preserve">Survey(s) Costs </t>
  </si>
  <si>
    <t xml:space="preserve">Architectural Fees </t>
  </si>
  <si>
    <t xml:space="preserve">Engineering Fees </t>
  </si>
  <si>
    <t xml:space="preserve">Appraisal </t>
  </si>
  <si>
    <t xml:space="preserve">Market Study </t>
  </si>
  <si>
    <t xml:space="preserve">Environmental Report </t>
  </si>
  <si>
    <t xml:space="preserve">Title &amp; Recording </t>
  </si>
  <si>
    <t>Demolition</t>
  </si>
  <si>
    <t xml:space="preserve">Off-Site Improvements </t>
  </si>
  <si>
    <t xml:space="preserve">On-Site Improvements </t>
  </si>
  <si>
    <t xml:space="preserve">General Requirements </t>
  </si>
  <si>
    <t>Permit</t>
  </si>
  <si>
    <t>Site Security</t>
  </si>
  <si>
    <t xml:space="preserve">Hard Construction (Residential New Const.) </t>
  </si>
  <si>
    <t xml:space="preserve">Hard Construction (Residential Rehab.) </t>
  </si>
  <si>
    <t xml:space="preserve">Hard Construction (Commercial) </t>
  </si>
  <si>
    <t xml:space="preserve">Hard Construction (Amenity Fee Items*) </t>
  </si>
  <si>
    <t xml:space="preserve">Construction Contingency </t>
  </si>
  <si>
    <t>Furniture, Fixtures &amp; Equipment</t>
  </si>
  <si>
    <t xml:space="preserve">Contractor Overhead </t>
  </si>
  <si>
    <t xml:space="preserve">Contractor Profit </t>
  </si>
  <si>
    <t xml:space="preserve">Construction Insurance </t>
  </si>
  <si>
    <t xml:space="preserve">Construction Interest </t>
  </si>
  <si>
    <t xml:space="preserve">Construction Loan(s) Fees </t>
  </si>
  <si>
    <t xml:space="preserve">Permanent Loan(s) Fees </t>
  </si>
  <si>
    <t xml:space="preserve">Costs of TE-Bond Issuance </t>
  </si>
  <si>
    <t xml:space="preserve">Impact Fees/Tap Fees/Taxes </t>
  </si>
  <si>
    <t xml:space="preserve">Rent-up Costs/Marketing </t>
  </si>
  <si>
    <t xml:space="preserve">Legal Fees (not syndication related) </t>
  </si>
  <si>
    <t xml:space="preserve">Accounting Fees </t>
  </si>
  <si>
    <t xml:space="preserve">**Organizational Fees </t>
  </si>
  <si>
    <t xml:space="preserve">**Syndication Expenses </t>
  </si>
  <si>
    <t xml:space="preserve">Housing Credit Application Fee </t>
  </si>
  <si>
    <t xml:space="preserve">Housing Credit Reservation Fee </t>
  </si>
  <si>
    <t xml:space="preserve">Compliance Monitoring Fee </t>
  </si>
  <si>
    <t xml:space="preserve">**Operating Reserves </t>
  </si>
  <si>
    <t xml:space="preserve">**Replacement Reserves </t>
  </si>
  <si>
    <t xml:space="preserve">TOTALS </t>
  </si>
  <si>
    <t>Site</t>
  </si>
  <si>
    <t>Hard Construction</t>
  </si>
  <si>
    <t>Professional Fees</t>
  </si>
  <si>
    <t>Compliance</t>
  </si>
  <si>
    <t>Reserves</t>
  </si>
  <si>
    <t xml:space="preserve">Other </t>
  </si>
  <si>
    <t>Commercial Costs (Non-Construction)</t>
  </si>
  <si>
    <t>Soft Cost Total</t>
  </si>
  <si>
    <t>Hard Cost Total</t>
  </si>
  <si>
    <t>Building#</t>
  </si>
  <si>
    <t>Elevator?</t>
  </si>
  <si>
    <t>Purchase Price</t>
  </si>
  <si>
    <t>OHFA HDAP</t>
  </si>
  <si>
    <t>Describe the project reserves, including operating reserve, replacement reserve, lease-up reserve, and any lender reserve. Provide the assumptions used to estimate the reserve needs.</t>
  </si>
  <si>
    <t>Earth Work</t>
  </si>
  <si>
    <t>Site Utilities</t>
  </si>
  <si>
    <t>Roads, Walks and Paving</t>
  </si>
  <si>
    <t>Site Improvements</t>
  </si>
  <si>
    <t>Lawns and Planting</t>
  </si>
  <si>
    <t>Demolition/Asbestos Abatement</t>
  </si>
  <si>
    <t>Retaining Walls</t>
  </si>
  <si>
    <t>Unusual Site Conditions</t>
  </si>
  <si>
    <t>Construction Cost Detail</t>
  </si>
  <si>
    <t>Concrete</t>
  </si>
  <si>
    <t>Masonry</t>
  </si>
  <si>
    <t>Pest Control</t>
  </si>
  <si>
    <t>Metals</t>
  </si>
  <si>
    <t>Rough Carpentry</t>
  </si>
  <si>
    <t>Finish Carpentry</t>
  </si>
  <si>
    <t>Waterproofing</t>
  </si>
  <si>
    <t>Insulation</t>
  </si>
  <si>
    <t>Roofing</t>
  </si>
  <si>
    <t>Gutters and Downspouts</t>
  </si>
  <si>
    <t>Doors</t>
  </si>
  <si>
    <t>Windows</t>
  </si>
  <si>
    <t>Glass</t>
  </si>
  <si>
    <t>Drywall</t>
  </si>
  <si>
    <t>Tile Work and Wood Flooring</t>
  </si>
  <si>
    <t>Acoustical</t>
  </si>
  <si>
    <t>Resilient Flooring</t>
  </si>
  <si>
    <t>Specialties</t>
  </si>
  <si>
    <t>Trash Chute</t>
  </si>
  <si>
    <t>Special Equipment</t>
  </si>
  <si>
    <t>Cabinets and Countertops</t>
  </si>
  <si>
    <t>Special Construction</t>
  </si>
  <si>
    <t>Elevators</t>
  </si>
  <si>
    <t>Plumbing and Hot Water</t>
  </si>
  <si>
    <t>Heat, Ventilation &amp; AC</t>
  </si>
  <si>
    <t>Fire Suppression</t>
  </si>
  <si>
    <t>Electrical</t>
  </si>
  <si>
    <t>Miscellaneous Labor &amp; Materials</t>
  </si>
  <si>
    <t>Appliances</t>
  </si>
  <si>
    <t>Blinds and Shades, Artwork</t>
  </si>
  <si>
    <t>Carpets</t>
  </si>
  <si>
    <t>Building Permits</t>
  </si>
  <si>
    <t>Tap Fees and Impact Fees</t>
  </si>
  <si>
    <t>Construction Insurance</t>
  </si>
  <si>
    <t>Bond Premium</t>
  </si>
  <si>
    <t>Other GC-Paid Fees</t>
  </si>
  <si>
    <t>Contractor General Requirements</t>
  </si>
  <si>
    <t xml:space="preserve">Rehabilitation </t>
  </si>
  <si>
    <t>Commercial</t>
  </si>
  <si>
    <t>Total Hard Construction</t>
  </si>
  <si>
    <t>Total Furniture, Fixtures, &amp; Equipment</t>
  </si>
  <si>
    <t>Total Other GC-Paid Fees</t>
  </si>
  <si>
    <t xml:space="preserve">Earth Work </t>
  </si>
  <si>
    <t xml:space="preserve">Site preparation (clearing and grubbing), top soil stripping and piling; rough site grading with cuts and fills; structure excavation and backfill; finish grading; footer trenching; soil testing; related field staking; site equipment rental fees. </t>
  </si>
  <si>
    <t xml:space="preserve">Demolition and Asbestos Abatement </t>
  </si>
  <si>
    <t xml:space="preserve">Labor and material related to demolition, asbestos abatement and any other environmental related tasks. </t>
  </si>
  <si>
    <t xml:space="preserve">Site Utilities </t>
  </si>
  <si>
    <t xml:space="preserve">Roads, Walks and Paving </t>
  </si>
  <si>
    <t xml:space="preserve">Site Improvements </t>
  </si>
  <si>
    <t xml:space="preserve">Lawns and Planting </t>
  </si>
  <si>
    <t xml:space="preserve">Retaining Walls </t>
  </si>
  <si>
    <t xml:space="preserve">Labor and material related to wood or stone retaining walls, bracing, etc. </t>
  </si>
  <si>
    <t xml:space="preserve">Unusual Site Conditions </t>
  </si>
  <si>
    <t xml:space="preserve">Labor and material related to any unusual site conditions. Contractor to provide description of such work. </t>
  </si>
  <si>
    <t xml:space="preserve">Concrete </t>
  </si>
  <si>
    <t>Labor and material related to footer concrete, cast-in-place or precast concrete work within a structure, including foundations, piers, floors, walls, etc.; formwork; reinforcement; cementations decks and toppings; gypcrete; related concrete testing; etc.</t>
  </si>
  <si>
    <t xml:space="preserve">Masonry </t>
  </si>
  <si>
    <t xml:space="preserve">Labor and material related to concrete block within a structure, including elevator shaft, mortar; reinforcement; wall ties; masonry window sill; grouting; cleaning; brick or stone work within a structure; mortar; grouting and cleaning; lintels, etc. </t>
  </si>
  <si>
    <t xml:space="preserve">Pest Control </t>
  </si>
  <si>
    <t xml:space="preserve">Termite protection on the site, foundations and any other type of pest control. </t>
  </si>
  <si>
    <t xml:space="preserve">Metals </t>
  </si>
  <si>
    <t xml:space="preserve">Labor and material related to the installation of any type metals. </t>
  </si>
  <si>
    <t xml:space="preserve">Rough Carpentry </t>
  </si>
  <si>
    <t xml:space="preserve">Labor and material related to wood framing; sheathing; sub flooring; wood decking; wood trusses; glued-laminated construction; stairs; framing steel; house wrap. </t>
  </si>
  <si>
    <t xml:space="preserve">Finish Carpentry </t>
  </si>
  <si>
    <t xml:space="preserve">Waterproofing </t>
  </si>
  <si>
    <t xml:space="preserve">Insulation </t>
  </si>
  <si>
    <t xml:space="preserve">Labor and material related to the installation of perimeter, floor, wall and ceiling insulation; vapor barriers; fireproofing; and any other type of insulation. </t>
  </si>
  <si>
    <t xml:space="preserve">Roofing </t>
  </si>
  <si>
    <t xml:space="preserve">Labor and material related to the installation of roofing felt; shingles; roofing tile; membrane roofing; attic/roof ventilators; drip edge; flashing; and any other types of roofing. </t>
  </si>
  <si>
    <t xml:space="preserve">Siding, Soffit, Fascia, and Exterior Sheathing </t>
  </si>
  <si>
    <t xml:space="preserve">Gutters and Downspouts </t>
  </si>
  <si>
    <t xml:space="preserve">Labor and material related to the installation of gutters; downspouts; fasteners, etc. </t>
  </si>
  <si>
    <t xml:space="preserve">Doors </t>
  </si>
  <si>
    <t xml:space="preserve">Labor (unless included elsewhere) and material related to the installation of exterior doors; frames; garage doors; garage door openers; sliding doors; screen/storm doors; hardware; thresholds; weather-stripping. </t>
  </si>
  <si>
    <t xml:space="preserve">Windows </t>
  </si>
  <si>
    <t xml:space="preserve">Labor (unless included elsewhere) and material related to the installation of vinyl, wood, steel, aluminum, clad or any other type of windows; screens; storm windows; glazing; weather-stripping; hardware. </t>
  </si>
  <si>
    <t xml:space="preserve">Glass </t>
  </si>
  <si>
    <t xml:space="preserve">Labor and material related to the installation of store front glass; glass; glazing; special glazing; and any other type of glass not included in doors or windows. </t>
  </si>
  <si>
    <t xml:space="preserve">Drywall </t>
  </si>
  <si>
    <t xml:space="preserve">Labor and material related to gypsum board systems for walls and ceiling, taped and finished; resilient channels and clips; wall texture; and any other types of interior wall finishes prior to painting. </t>
  </si>
  <si>
    <t xml:space="preserve">Tile Work and Wood Flooring </t>
  </si>
  <si>
    <t xml:space="preserve">Labor and material related to the installation of any type of flooring tile or hardwood. Any type of flooring not included in Resilient Flooring or Carpeting. </t>
  </si>
  <si>
    <t xml:space="preserve">Acoustical </t>
  </si>
  <si>
    <t xml:space="preserve">Labor and material related to the installation of ceiling tiles; ceiling tile grids; sound absorbing panels in walls or floors; grid bracing and wiring; etc. </t>
  </si>
  <si>
    <t xml:space="preserve">Resilient Flooring </t>
  </si>
  <si>
    <t xml:space="preserve">Labor and material related to the installation of floor underlayment; all types of resilient tile or sheet good flooring; cove base; adhesives; stair treads and risers; edging; etc. </t>
  </si>
  <si>
    <t xml:space="preserve">Painting and Decorating </t>
  </si>
  <si>
    <t xml:space="preserve">Labor and material related to the priming and painting of exterior and interior walls, ceilings, doors, windows, trim, lintels, and other surfaces; caulking; decorations; etc. </t>
  </si>
  <si>
    <t xml:space="preserve">Specialties </t>
  </si>
  <si>
    <t xml:space="preserve">Trash Chute </t>
  </si>
  <si>
    <t xml:space="preserve">Labor and material related to the installation of the trash chute. </t>
  </si>
  <si>
    <t xml:space="preserve">Special Equipment </t>
  </si>
  <si>
    <t xml:space="preserve">Labor and material related to the installation of washers, clothes dryers, laundry equipment, furnishings, equipment for offices, and any other type of equipment. </t>
  </si>
  <si>
    <t xml:space="preserve">Cabinets and Countertops </t>
  </si>
  <si>
    <t xml:space="preserve">Labor and material related to the installation of kitchen wall and base cabinets; bath vanities; hardware; special cabinets; laminate, granite or any other type of tops; and any other cabinetry and tops included. </t>
  </si>
  <si>
    <t xml:space="preserve">Appliances </t>
  </si>
  <si>
    <t xml:space="preserve">Labor and material related to the installation of refrigerators, ranges/stoves, range hoods, disposals, dishwashers, trash compactors, and any other appliances. </t>
  </si>
  <si>
    <t xml:space="preserve">Blinds and Shades, Artwork </t>
  </si>
  <si>
    <t xml:space="preserve">Labor and material related to the installation of window blinds; shades; draperies; drapery rods; attached artwork. </t>
  </si>
  <si>
    <t xml:space="preserve">Carpeting </t>
  </si>
  <si>
    <t xml:space="preserve">Labor and material related to the installation of carpet; carpet tile; padding adhesives; edging; etc. </t>
  </si>
  <si>
    <t xml:space="preserve">Special Construction </t>
  </si>
  <si>
    <t xml:space="preserve">Elevators </t>
  </si>
  <si>
    <t xml:space="preserve">Labor and material related to the installation of elevators. </t>
  </si>
  <si>
    <t xml:space="preserve">Plumbing and Hot Water </t>
  </si>
  <si>
    <t xml:space="preserve">Labor and materials related to installation of sprinkler system, fire extinguishers and cabinets, fire stop canisters, knox box, etc. </t>
  </si>
  <si>
    <t xml:space="preserve">Heating, Ventilation and Air Conditioning </t>
  </si>
  <si>
    <t xml:space="preserve">Electrical </t>
  </si>
  <si>
    <t xml:space="preserve">Miscellaneous (Labor and Materials)** </t>
  </si>
  <si>
    <t xml:space="preserve">Contractor to describe costs included in this Trade Item. </t>
  </si>
  <si>
    <t xml:space="preserve">Building Permit, Tap Fees and Impact Fees </t>
  </si>
  <si>
    <t xml:space="preserve">Amounts paid for any type of permits, tap fees, and impact fees. </t>
  </si>
  <si>
    <t xml:space="preserve">Amounts paid for insurance during the construction period. </t>
  </si>
  <si>
    <t xml:space="preserve">Bond Premium </t>
  </si>
  <si>
    <t xml:space="preserve">Amounts paid for performance, payment and any other types of bonds. </t>
  </si>
  <si>
    <t xml:space="preserve">Site Security </t>
  </si>
  <si>
    <t xml:space="preserve">Amounts paid for site security. </t>
  </si>
  <si>
    <t>Other GC Fee Descriptions</t>
  </si>
  <si>
    <t>Trade Item Descriptions</t>
  </si>
  <si>
    <t>Construction Cost Descriptions</t>
  </si>
  <si>
    <t>Detached Non-Residential Details</t>
  </si>
  <si>
    <t xml:space="preserve">Enter any additional budget description or explanation here: </t>
  </si>
  <si>
    <t>Amortization Term (Months)</t>
  </si>
  <si>
    <t>Interim/Finance</t>
  </si>
  <si>
    <t>Annual Housing Credit Calculation</t>
  </si>
  <si>
    <t>Total Acquisition Basis</t>
  </si>
  <si>
    <t>Total Rehabilitation Basis</t>
  </si>
  <si>
    <t>Total New Construction Basis</t>
  </si>
  <si>
    <t>Total Eligible Basis</t>
  </si>
  <si>
    <t>Acquisition Basis</t>
  </si>
  <si>
    <t>Rehabilitation Basis</t>
  </si>
  <si>
    <t>New Construction Basis</t>
  </si>
  <si>
    <t>Deducted Federal Financing</t>
  </si>
  <si>
    <t xml:space="preserve">Project History </t>
  </si>
  <si>
    <t>Other 4</t>
  </si>
  <si>
    <t>If financial structure is atypical or otherwise subject to change, explain when and how changes could occur.</t>
  </si>
  <si>
    <t>Non-HTC Eligible Basis</t>
  </si>
  <si>
    <t>Non-HTC Qualifying Units of Higher Quality</t>
  </si>
  <si>
    <t>Non-Qualifying Units</t>
  </si>
  <si>
    <t>Historic Tax Credit</t>
  </si>
  <si>
    <t>Net Eligible Basis</t>
  </si>
  <si>
    <t># of Sites in a QCT or DDA</t>
  </si>
  <si>
    <t>QCT or DDA?</t>
  </si>
  <si>
    <t>% of Sites in a QCT or DDA</t>
  </si>
  <si>
    <t>Urban/Non-Urban</t>
  </si>
  <si>
    <t>Urban</t>
  </si>
  <si>
    <t>Pool Names</t>
  </si>
  <si>
    <t>Single Family Development</t>
  </si>
  <si>
    <t>Pool</t>
  </si>
  <si>
    <t>Very Low</t>
  </si>
  <si>
    <t>No Change</t>
  </si>
  <si>
    <t>Slight Growth</t>
  </si>
  <si>
    <t>Strong Decline</t>
  </si>
  <si>
    <t>Strong Growth</t>
  </si>
  <si>
    <t>Very High</t>
  </si>
  <si>
    <t>High</t>
  </si>
  <si>
    <t>Low</t>
  </si>
  <si>
    <t>Slight Decline</t>
  </si>
  <si>
    <t>Moderate</t>
  </si>
  <si>
    <t>USR Type</t>
  </si>
  <si>
    <t>Rural</t>
  </si>
  <si>
    <t>Suburban</t>
  </si>
  <si>
    <t>USR for Opportunity</t>
  </si>
  <si>
    <t>% ELI</t>
  </si>
  <si>
    <t>Applicable Fraction</t>
  </si>
  <si>
    <t>Low Income Unit Fraction</t>
  </si>
  <si>
    <t>Low Income Floor Space Fraction</t>
  </si>
  <si>
    <t>Set Aside</t>
  </si>
  <si>
    <t>Applicable Tax Credit Percentage</t>
  </si>
  <si>
    <t>Annual Amount of HTC</t>
  </si>
  <si>
    <t>Previous HTC Deduction</t>
  </si>
  <si>
    <t>Ten Year Housing Credit Request</t>
  </si>
  <si>
    <t>Syndicator/Investor Name</t>
  </si>
  <si>
    <t>Type of Offering</t>
  </si>
  <si>
    <t>Fund Name/Number</t>
  </si>
  <si>
    <t>Housing Credit Equity Proceeds Calculation</t>
  </si>
  <si>
    <t>Gross Equity</t>
  </si>
  <si>
    <t>Upper tier Bridge Loan interest</t>
  </si>
  <si>
    <t>Lower tier other Bridge Loan interest</t>
  </si>
  <si>
    <t>Other deductions</t>
  </si>
  <si>
    <t>Lower tier OHFA Bridge Loan interest</t>
  </si>
  <si>
    <t>Net Equity</t>
  </si>
  <si>
    <t>Housing Credit Net Equity Factor</t>
  </si>
  <si>
    <t>Must equal the Housing Credit Net Equity amount listed in the conditional equity commitment letter</t>
  </si>
  <si>
    <t>Program &amp; Pool Information</t>
  </si>
  <si>
    <t>Set Asides</t>
  </si>
  <si>
    <t>Extremely Low Income</t>
  </si>
  <si>
    <t>Disability</t>
  </si>
  <si>
    <t>Vulnerability</t>
  </si>
  <si>
    <t>Mark to Market</t>
  </si>
  <si>
    <t>Any buildings listed on National Register of Historic Places?</t>
  </si>
  <si>
    <t>HTC Rent Elections &amp; Income Targeting</t>
  </si>
  <si>
    <t>20%+ of the units are rent restricted and occupied by individuals whose income is 50% or less of AMI.</t>
  </si>
  <si>
    <t>40%+ of the units are rent restricted and occupied by individuals whose income is 60% or less of AMI.</t>
  </si>
  <si>
    <t>HTC Rent Election</t>
  </si>
  <si>
    <t>35%+ of the units are occupied by and affordable to individuals at or below 50% AMI</t>
  </si>
  <si>
    <t>5%+ of the units are occupied by and affordable to individuals at or below 35% AMI</t>
  </si>
  <si>
    <t>HDAP Rent Election: PJ</t>
  </si>
  <si>
    <t>HDAP Rent Election: Non-PJ</t>
  </si>
  <si>
    <t>40%+ of the units are occupied by and affordable to individuals at or below 50% AMI</t>
  </si>
  <si>
    <t>10%+ of the units are occupied by and affordable to individuals at or below 35% AMI</t>
  </si>
  <si>
    <t>PJLists</t>
  </si>
  <si>
    <t>PJ</t>
  </si>
  <si>
    <t>NonPJ</t>
  </si>
  <si>
    <t>Fees</t>
  </si>
  <si>
    <t>HTC Reservation Fee</t>
  </si>
  <si>
    <t>Estimated</t>
  </si>
  <si>
    <t xml:space="preserve">Transmittal Cover Sheet </t>
  </si>
  <si>
    <t>Project Number</t>
  </si>
  <si>
    <t>HTC Request</t>
  </si>
  <si>
    <t>Owner Type</t>
  </si>
  <si>
    <t>% of Ownership</t>
  </si>
  <si>
    <t>Unit Summary</t>
  </si>
  <si>
    <t>Total Units</t>
  </si>
  <si>
    <t>Sensory Units</t>
  </si>
  <si>
    <t>Mobility Units</t>
  </si>
  <si>
    <t>ELI Units</t>
  </si>
  <si>
    <t xml:space="preserve">Formerly Homeless </t>
  </si>
  <si>
    <t>Scattered Site</t>
  </si>
  <si>
    <t>HDL Request</t>
  </si>
  <si>
    <t>Bond Request</t>
  </si>
  <si>
    <t>MLP Request</t>
  </si>
  <si>
    <t>HDAP Recipient Name</t>
  </si>
  <si>
    <t>Executive Director, President, or CEO</t>
  </si>
  <si>
    <t>Name</t>
  </si>
  <si>
    <t>Housing Development Assistance Program</t>
  </si>
  <si>
    <t>HDAP Recipient</t>
  </si>
  <si>
    <t>Entity is HDAP eligible?</t>
  </si>
  <si>
    <t>Entity Type</t>
  </si>
  <si>
    <t>Original Project Number</t>
  </si>
  <si>
    <t>Was Davis-Bacon used to estimate labor costs?</t>
  </si>
  <si>
    <t xml:space="preserve">Is HDAP applicant or majority owner for-profit? </t>
  </si>
  <si>
    <t xml:space="preserve">State of Ohio Prevailing Wage applies? </t>
  </si>
  <si>
    <t>Estimate only</t>
  </si>
  <si>
    <t>Was Prevailing Wage used to estimate labor costs?</t>
  </si>
  <si>
    <t>Are 12% or more of project sources federal?</t>
  </si>
  <si>
    <t>Wage Rates</t>
  </si>
  <si>
    <t>Project involves acquisition of existing buildings?</t>
  </si>
  <si>
    <t>Project involves temporary or permanent relocation?</t>
  </si>
  <si>
    <t>Housing Development Loan</t>
  </si>
  <si>
    <t>Requested Loan Amount</t>
  </si>
  <si>
    <t>Requested Loan Term</t>
  </si>
  <si>
    <t>Estimated Closing Date</t>
  </si>
  <si>
    <t>Estimated Loan Benefit</t>
  </si>
  <si>
    <t>Click Here to Read HDL Guidelines</t>
  </si>
  <si>
    <t>Narratives</t>
  </si>
  <si>
    <t>Provide a short project overview of 1,000 characters or less (including spaces).</t>
  </si>
  <si>
    <t>ACQ</t>
  </si>
  <si>
    <t>SR</t>
  </si>
  <si>
    <t>NC</t>
  </si>
  <si>
    <t>Allowable</t>
  </si>
  <si>
    <t>Amort</t>
  </si>
  <si>
    <t>% of Sources</t>
  </si>
  <si>
    <t>Total Project Cost</t>
  </si>
  <si>
    <t>Total Project Costs</t>
  </si>
  <si>
    <t>Operating Reserve</t>
  </si>
  <si>
    <t>Minimum Oper Res</t>
  </si>
  <si>
    <t>Maximum Oper Res</t>
  </si>
  <si>
    <t>Equity Factor</t>
  </si>
  <si>
    <t>Net Proceeds</t>
  </si>
  <si>
    <t>Requested</t>
  </si>
  <si>
    <t>10 Yr Total</t>
  </si>
  <si>
    <t>LP Total</t>
  </si>
  <si>
    <t>LP% Ownership</t>
  </si>
  <si>
    <t>Total Housing Credits Eligible</t>
  </si>
  <si>
    <t xml:space="preserve">Total Housing Credit Eligible </t>
  </si>
  <si>
    <t xml:space="preserve">Total Housing Credit Requested </t>
  </si>
  <si>
    <t>Housing Credits Allowable</t>
  </si>
  <si>
    <t>Net Monthly Tenant Rents</t>
  </si>
  <si>
    <t># of Bedrooms</t>
  </si>
  <si>
    <t>Rent to Project per Unit</t>
  </si>
  <si>
    <t>Affordable to % AMGI</t>
  </si>
  <si>
    <t>Max LIHTC Rent Limit</t>
  </si>
  <si>
    <t>Income % Increase</t>
  </si>
  <si>
    <t>Expenses % Increase</t>
  </si>
  <si>
    <t>Vacancy %</t>
  </si>
  <si>
    <t>Replacement Expense/Yr</t>
  </si>
  <si>
    <t>Replacement Expense/Yr/Unit</t>
  </si>
  <si>
    <t>Primary Census Tract</t>
  </si>
  <si>
    <t>Per Unit</t>
  </si>
  <si>
    <t>Net Operating Expense/Yr</t>
  </si>
  <si>
    <t>Net Operating Expense/Yr/Unit</t>
  </si>
  <si>
    <t>Construction Type</t>
  </si>
  <si>
    <t>Stable Year</t>
  </si>
  <si>
    <t>YR 2</t>
  </si>
  <si>
    <t>YR 3</t>
  </si>
  <si>
    <t>YR 4</t>
  </si>
  <si>
    <t>YR 5</t>
  </si>
  <si>
    <t>YR 6</t>
  </si>
  <si>
    <t>YR 7</t>
  </si>
  <si>
    <t>YR 8</t>
  </si>
  <si>
    <t>YR 9</t>
  </si>
  <si>
    <t>YR 10</t>
  </si>
  <si>
    <t>YR 11</t>
  </si>
  <si>
    <t>YR 12</t>
  </si>
  <si>
    <t>YR 13</t>
  </si>
  <si>
    <t>YR 14</t>
  </si>
  <si>
    <t>YR 15</t>
  </si>
  <si>
    <t>YR 16</t>
  </si>
  <si>
    <t>YR 17</t>
  </si>
  <si>
    <t>YR 18</t>
  </si>
  <si>
    <t>YR 19</t>
  </si>
  <si>
    <t>YR 20</t>
  </si>
  <si>
    <t>YR 21</t>
  </si>
  <si>
    <t>YR 22</t>
  </si>
  <si>
    <t>YR 23</t>
  </si>
  <si>
    <t>YR 24</t>
  </si>
  <si>
    <t>YR 25</t>
  </si>
  <si>
    <t>YR 26</t>
  </si>
  <si>
    <t>YR 27</t>
  </si>
  <si>
    <t>YR 28</t>
  </si>
  <si>
    <t>YR 29</t>
  </si>
  <si>
    <t>YR 30</t>
  </si>
  <si>
    <t>Annual Net Rents</t>
  </si>
  <si>
    <t>Annual Res. Fee Income</t>
  </si>
  <si>
    <t>Other Res. Income</t>
  </si>
  <si>
    <t>(Vacancy Allowance)</t>
  </si>
  <si>
    <t>(Tenant Contributions)</t>
  </si>
  <si>
    <t>(Operating Expenses)</t>
  </si>
  <si>
    <t>Tax Abatement</t>
  </si>
  <si>
    <t>Operating Subsidy</t>
  </si>
  <si>
    <t>Project Information</t>
  </si>
  <si>
    <t>Loan Term (Years)</t>
  </si>
  <si>
    <t>Cashflow</t>
  </si>
  <si>
    <t>HRD DCR</t>
  </si>
  <si>
    <t>Overall Cash Flow</t>
  </si>
  <si>
    <t>OHFA Eligible Basis Adjustment Calculation</t>
  </si>
  <si>
    <t>% Difference</t>
  </si>
  <si>
    <t>LIHTC Equity Needed</t>
  </si>
  <si>
    <t>Excess LIHTC Equity</t>
  </si>
  <si>
    <t>New LIHTC Equity Total</t>
  </si>
  <si>
    <t>Gap</t>
  </si>
  <si>
    <t>Gap % (&lt;10%)</t>
  </si>
  <si>
    <t>Other Required HTC Reductions</t>
  </si>
  <si>
    <t>(Ineligible Federal Grants and Loans)</t>
  </si>
  <si>
    <t>(Historic Tax Credit - Residential Portion only)</t>
  </si>
  <si>
    <t>Percentage of sites in a QCT</t>
  </si>
  <si>
    <t>Total Adjusted Eligible Basis</t>
  </si>
  <si>
    <t>(Underwrite Adjustment - See OHFA Proforma)</t>
  </si>
  <si>
    <t>Net OHFA Adjustments - Adjusted Basis</t>
  </si>
  <si>
    <t>Housing Credit Amount</t>
  </si>
  <si>
    <t>(Previous Years Allocation)</t>
  </si>
  <si>
    <t>Adjusted Housing Credit Amount</t>
  </si>
  <si>
    <t>(Non-Qualifying Units of Higher Quality)</t>
  </si>
  <si>
    <t>Total Credit Amount</t>
  </si>
  <si>
    <t>Ten-Year Credit Amount</t>
  </si>
  <si>
    <t>Click Here to Read MLP Guidelines</t>
  </si>
  <si>
    <t>Amount of MLP Requested</t>
  </si>
  <si>
    <t>Developer</t>
  </si>
  <si>
    <t>Co-Developer</t>
  </si>
  <si>
    <t>Prior Development Name</t>
  </si>
  <si>
    <t>Role in Past Development</t>
  </si>
  <si>
    <t>% Complete</t>
  </si>
  <si>
    <t>New Construction or Rehab?</t>
  </si>
  <si>
    <t>Primary Source of Funds</t>
  </si>
  <si>
    <t>Secondary Source of Funds</t>
  </si>
  <si>
    <t>Management Company</t>
  </si>
  <si>
    <t>Other Team Members</t>
  </si>
  <si>
    <t>Entity</t>
  </si>
  <si>
    <t xml:space="preserve">Any findings in the past five years of financial audits? </t>
  </si>
  <si>
    <t>Year Completed or Management Assumed</t>
  </si>
  <si>
    <t>Team Member Roles</t>
  </si>
  <si>
    <t>Predevelopment Planning</t>
  </si>
  <si>
    <t>Site Selection</t>
  </si>
  <si>
    <t>Development Team Selection</t>
  </si>
  <si>
    <t>Negotiation of Partnership Agreement</t>
  </si>
  <si>
    <t>Design</t>
  </si>
  <si>
    <t>Work Write-up for Rehab</t>
  </si>
  <si>
    <t>Feasibility Analysis</t>
  </si>
  <si>
    <t>Financing Arrangements</t>
  </si>
  <si>
    <t>Contractor Selection</t>
  </si>
  <si>
    <t>Construction Management</t>
  </si>
  <si>
    <t>Construction Close-out</t>
  </si>
  <si>
    <t>Marketing</t>
  </si>
  <si>
    <t>Lease-up of Rental Units</t>
  </si>
  <si>
    <t>Ongoing Project Compliance</t>
  </si>
  <si>
    <t>Mgmt Co</t>
  </si>
  <si>
    <t>Partnership Description</t>
  </si>
  <si>
    <t>Only projects seeking to have OHFA issue tax-exempt bonds must complete this section. Projects that are using tax-exempt bond financing issued by another entity do not have to complete this section.</t>
  </si>
  <si>
    <t>Also seeking HTC?</t>
  </si>
  <si>
    <t>Application Type</t>
  </si>
  <si>
    <t>Bond Type</t>
  </si>
  <si>
    <t>Aggregate Basis plus Land</t>
  </si>
  <si>
    <t>Term</t>
  </si>
  <si>
    <t>Series A</t>
  </si>
  <si>
    <t>Series B</t>
  </si>
  <si>
    <t>Series C</t>
  </si>
  <si>
    <t>If Acquisition, Building Value</t>
  </si>
  <si>
    <t>If Acquisition, Source</t>
  </si>
  <si>
    <t>LTV</t>
  </si>
  <si>
    <t>Bond Counsel</t>
  </si>
  <si>
    <t>Investment Banker</t>
  </si>
  <si>
    <t>Mortgage Banker</t>
  </si>
  <si>
    <t>Guarantor</t>
  </si>
  <si>
    <t>Paying Agent</t>
  </si>
  <si>
    <t>Mortgage Servicer</t>
  </si>
  <si>
    <t>Trustee Bank</t>
  </si>
  <si>
    <t>Owner's Counsel</t>
  </si>
  <si>
    <t>Trustee's Counsel</t>
  </si>
  <si>
    <t>Underwriter's Counsel</t>
  </si>
  <si>
    <t>Cell #</t>
  </si>
  <si>
    <t>Credit Enhancement Type</t>
  </si>
  <si>
    <t>Credit Enhancement Term</t>
  </si>
  <si>
    <t>Describe (1) the benefits that the future and/or current residents and the community will receive; and (2) the costs savings and any financial benefits that the owner of the project will receive resulting from the tax-exempt bond transaction.  Be specific.</t>
  </si>
  <si>
    <t>Bonds Overview</t>
  </si>
  <si>
    <t>Receipts &amp; Disbursements</t>
  </si>
  <si>
    <t>Series A Bonds</t>
  </si>
  <si>
    <t>Series B Bonds</t>
  </si>
  <si>
    <t>Taxable Bonds</t>
  </si>
  <si>
    <t>Other Funds</t>
  </si>
  <si>
    <t>Principal Amount of Bonds</t>
  </si>
  <si>
    <t>Less: Original Issue Discount</t>
  </si>
  <si>
    <t>Plus: Accrued Interest</t>
  </si>
  <si>
    <t>Net Receipts on Bonds</t>
  </si>
  <si>
    <t>Plus: Mortgage Payment(s)</t>
  </si>
  <si>
    <t>Plus: Debt Service Reserve</t>
  </si>
  <si>
    <t>Plus: Bond Fund Balance</t>
  </si>
  <si>
    <t>Plus: Other 1</t>
  </si>
  <si>
    <t>Plus: Other 2</t>
  </si>
  <si>
    <t>Receipts</t>
  </si>
  <si>
    <t>Disbursements</t>
  </si>
  <si>
    <t>Accrued Interest to Bond Fund</t>
  </si>
  <si>
    <t>Debt Service Reserve Fund</t>
  </si>
  <si>
    <t>Cash Deposit to Escrow Fund</t>
  </si>
  <si>
    <t>Project Repairs Escrow</t>
  </si>
  <si>
    <t>*Costs of Issuance</t>
  </si>
  <si>
    <t>Deposit to Bond Fund</t>
  </si>
  <si>
    <t>Any amount over 2% must be noted from another source above.</t>
  </si>
  <si>
    <t>Total Receipts (Equal TPC)</t>
  </si>
  <si>
    <t>Cost of Issuance Breakdown</t>
  </si>
  <si>
    <t>Investment Banker's Fee</t>
  </si>
  <si>
    <t>Other Related Issuance Costs</t>
  </si>
  <si>
    <t>Clearance fee</t>
  </si>
  <si>
    <t>MSRB/PSA</t>
  </si>
  <si>
    <t>CUSPID</t>
  </si>
  <si>
    <t>Miscellaneous contingency</t>
  </si>
  <si>
    <t>Investment Banker's Counsel Fee</t>
  </si>
  <si>
    <t>Trustee's Fee</t>
  </si>
  <si>
    <t>Special Counsel</t>
  </si>
  <si>
    <t>% of Tax-Exempt Bonds</t>
  </si>
  <si>
    <t>Issuer's Application Fee/Expenses</t>
  </si>
  <si>
    <t>Issuer's Counsel Fee/Expenses</t>
  </si>
  <si>
    <t>Bond Counsel Fee/Expenses</t>
  </si>
  <si>
    <t>Lender's Counsel Fee/Expenses</t>
  </si>
  <si>
    <t>Trustee's Counsel Expenses</t>
  </si>
  <si>
    <t>Other Issuance Costs Subtotal</t>
  </si>
  <si>
    <t>Printing Securities &amp; Offering Docs</t>
  </si>
  <si>
    <t>How to Use this Workbook</t>
  </si>
  <si>
    <t>Document Submission Requirements</t>
  </si>
  <si>
    <t>Multifamily Lending Program</t>
  </si>
  <si>
    <t>Photograph or Rendering</t>
  </si>
  <si>
    <t>Development Team Information</t>
  </si>
  <si>
    <t>General Contractor</t>
  </si>
  <si>
    <t>Syndicator</t>
  </si>
  <si>
    <t>Architect</t>
  </si>
  <si>
    <t>Developer Contact</t>
  </si>
  <si>
    <t>Ownership Information</t>
  </si>
  <si>
    <t>Wage Rate Information</t>
  </si>
  <si>
    <t>Parent Organization</t>
  </si>
  <si>
    <t>Parent Company</t>
  </si>
  <si>
    <t>Construction Financing Sources</t>
  </si>
  <si>
    <t>Permanent Financing Sources</t>
  </si>
  <si>
    <t>Housing Credit Request</t>
  </si>
  <si>
    <t>Development Budget</t>
  </si>
  <si>
    <t>Operating Expenses</t>
  </si>
  <si>
    <t>Net Credit Request</t>
  </si>
  <si>
    <t>Predevelopment</t>
  </si>
  <si>
    <t>Site Development</t>
  </si>
  <si>
    <t>Compliance Costs</t>
  </si>
  <si>
    <t>Interim Costs/Finance</t>
  </si>
  <si>
    <t>Wage Requirement</t>
  </si>
  <si>
    <t>"Other" Detail</t>
  </si>
  <si>
    <t>IN WITNESS WHEREOF, the undersigned has caused this document to be duly executed in its name on</t>
  </si>
  <si>
    <t>this</t>
  </si>
  <si>
    <t xml:space="preserve">day of </t>
  </si>
  <si>
    <t>Legal Name of Actual or Proposed Ownership Entity</t>
  </si>
  <si>
    <t>BY:</t>
  </si>
  <si>
    <t>Authorized Signatory - General Partner</t>
  </si>
  <si>
    <t>Print Name</t>
  </si>
  <si>
    <t>, 20____</t>
  </si>
  <si>
    <t>Architect of Record</t>
  </si>
  <si>
    <t>2010 ADA Standards for Accessible Design (2010 ADA Standards)</t>
  </si>
  <si>
    <t xml:space="preserve">Uniform Federal Accessibility Standards (UFAS) </t>
  </si>
  <si>
    <t>Formula, auto-populate, or other locked cell</t>
  </si>
  <si>
    <t>Local Partners</t>
  </si>
  <si>
    <t>Select One for 10 Points</t>
  </si>
  <si>
    <t>Non-Profit Partner</t>
  </si>
  <si>
    <t>Housing Authority Partner</t>
  </si>
  <si>
    <t>Affordable Units</t>
  </si>
  <si>
    <t>Credits Requested</t>
  </si>
  <si>
    <t>Credits/Affordable Unit</t>
  </si>
  <si>
    <t>Points</t>
  </si>
  <si>
    <t>Transit</t>
  </si>
  <si>
    <t>Revitalization Plan</t>
  </si>
  <si>
    <t>Tiebreaker</t>
  </si>
  <si>
    <t>Max Credits</t>
  </si>
  <si>
    <t>Analyst Score &amp; Notes: Local Partners</t>
  </si>
  <si>
    <t>Analyst Score &amp; Notes: Tiebreaker #1</t>
  </si>
  <si>
    <t>Analyst Score &amp; Notes: Tiebreaker #2</t>
  </si>
  <si>
    <t>LEED Platinum</t>
  </si>
  <si>
    <t>Energy Star MFHR Performance Path</t>
  </si>
  <si>
    <t>Energy Star MFHR Prescriptive Path</t>
  </si>
  <si>
    <t xml:space="preserve">Enterprise Limited Scope Rehabilitation Overlay </t>
  </si>
  <si>
    <t>ICC 700 NGBS Emerald</t>
  </si>
  <si>
    <t>Type HTC</t>
  </si>
  <si>
    <t>LEED Silver</t>
  </si>
  <si>
    <t>LEED Gold</t>
  </si>
  <si>
    <t>ICC 700 NGBS Silver</t>
  </si>
  <si>
    <t>ICC 700 NGBS Gold</t>
  </si>
  <si>
    <t>Partner Name</t>
  </si>
  <si>
    <t>CHDO</t>
  </si>
  <si>
    <t>In-State Developer</t>
  </si>
  <si>
    <t>In-State General Contractor</t>
  </si>
  <si>
    <t>Land Uses</t>
  </si>
  <si>
    <t>Industrial</t>
  </si>
  <si>
    <t>Recreational</t>
  </si>
  <si>
    <t>N/A</t>
  </si>
  <si>
    <t>Team Name</t>
  </si>
  <si>
    <t>Ownership</t>
  </si>
  <si>
    <t>QCT</t>
  </si>
  <si>
    <t>No Set Aside</t>
  </si>
  <si>
    <t>Drop-down or other restricted answer. Do not leave blank, select N/A.</t>
  </si>
  <si>
    <t>Zip Code</t>
  </si>
  <si>
    <t>DDA?</t>
  </si>
  <si>
    <t>DDA</t>
  </si>
  <si>
    <t>Age Range</t>
  </si>
  <si>
    <t>This page auto-populates, do NOT enter data.</t>
  </si>
  <si>
    <t>Project previously awarded HDAP?</t>
  </si>
  <si>
    <t>Project previously awarded HTC?</t>
  </si>
  <si>
    <t>Concentrated Job Center</t>
  </si>
  <si>
    <t>Base Fee</t>
  </si>
  <si>
    <t>Per Unit Fee</t>
  </si>
  <si>
    <t>Dev Fee</t>
  </si>
  <si>
    <t>Supplement Amount</t>
  </si>
  <si>
    <t>Eligibility</t>
  </si>
  <si>
    <t>Prevailing Wage Required</t>
  </si>
  <si>
    <t>Amount Requested</t>
  </si>
  <si>
    <t>Amount Deferred</t>
  </si>
  <si>
    <t>Permanent First Loan, Hard Debt</t>
  </si>
  <si>
    <t>Previous Source</t>
  </si>
  <si>
    <t xml:space="preserve">Required Documents: </t>
  </si>
  <si>
    <t>Points Claimed</t>
  </si>
  <si>
    <t>% Market Rate Units</t>
  </si>
  <si>
    <t>% Ownership</t>
  </si>
  <si>
    <t>MHA Name</t>
  </si>
  <si>
    <t>CHDO Name</t>
  </si>
  <si>
    <t>Developer Fee Calculation</t>
  </si>
  <si>
    <t>Provide a brief narrative describing the troubled asset and those steps that have or will be taken to put the asset back into productive use.</t>
  </si>
  <si>
    <t>Provide a brief narrative describing the management history, the components that need replacing, and a detailed itemization of the use of the project’s replacement reserves.</t>
  </si>
  <si>
    <t># Affordable Units</t>
  </si>
  <si>
    <t>Total Points Claimed</t>
  </si>
  <si>
    <t>Committed</t>
  </si>
  <si>
    <t>Provider Name</t>
  </si>
  <si>
    <t>Service Provision Location</t>
  </si>
  <si>
    <t>Before/After School Care</t>
  </si>
  <si>
    <t>Early Childhood Education</t>
  </si>
  <si>
    <t>Educational Assistance Programs</t>
  </si>
  <si>
    <t>Financial Literacy, Credit Counseling, Etc.</t>
  </si>
  <si>
    <t>Health Promotion, Nutrition, or Wellness</t>
  </si>
  <si>
    <t>Job Training/Search/Placement Assistance</t>
  </si>
  <si>
    <t>Life Skills Training</t>
  </si>
  <si>
    <t>Transportation</t>
  </si>
  <si>
    <t>Legal Services</t>
  </si>
  <si>
    <t>TOTAL Services Offered</t>
  </si>
  <si>
    <t>Name of Medicaid Partner</t>
  </si>
  <si>
    <t>Designation</t>
  </si>
  <si>
    <t>CoC Name</t>
  </si>
  <si>
    <t>Akron/Summit</t>
  </si>
  <si>
    <t>Balance of State</t>
  </si>
  <si>
    <t>Canton/Stark</t>
  </si>
  <si>
    <t>Cincinnati/Hamilton</t>
  </si>
  <si>
    <t>Cleveland/Cuyahoga</t>
  </si>
  <si>
    <t>Columbus/Franklin</t>
  </si>
  <si>
    <t>Dayton/Montgomery</t>
  </si>
  <si>
    <t>Toledo/Lucas</t>
  </si>
  <si>
    <t>Youngstown/Mahoning</t>
  </si>
  <si>
    <t>CoCs</t>
  </si>
  <si>
    <t>Analyst Total Awarded Points</t>
  </si>
  <si>
    <t>Developer Fee</t>
  </si>
  <si>
    <t>Developer-Charged Financing Fees</t>
  </si>
  <si>
    <t>Developer Fee (DV)</t>
  </si>
  <si>
    <t>Construction Management Fees (DV)</t>
  </si>
  <si>
    <t>Guarantee Fees (DV)</t>
  </si>
  <si>
    <t>Developer-Charged Financing Fees (DV)</t>
  </si>
  <si>
    <t>HDAP: NHTF</t>
  </si>
  <si>
    <t>HDAP: OHTF/HOME</t>
  </si>
  <si>
    <t>Notes</t>
  </si>
  <si>
    <t>This page is unlocked for applicant convenience.  Information contained on this page MAY NOT BE SEEN BY UNDERWRITER.</t>
  </si>
  <si>
    <t xml:space="preserve">Construction Management Fees </t>
  </si>
  <si>
    <t xml:space="preserve">Guarantee Fees </t>
  </si>
  <si>
    <t>Base Fee + Supplemental</t>
  </si>
  <si>
    <t>Budget Requests</t>
  </si>
  <si>
    <t>9% Base Fee Calculation</t>
  </si>
  <si>
    <t>4% Fee Calculation</t>
  </si>
  <si>
    <t>Fee as Percentage of TDC</t>
  </si>
  <si>
    <t>9% Supplemental Fee Calculation</t>
  </si>
  <si>
    <t>20% Allowable Developer Fee</t>
  </si>
  <si>
    <t>Proposal</t>
  </si>
  <si>
    <t>Final</t>
  </si>
  <si>
    <t>■</t>
  </si>
  <si>
    <t>Appraisal</t>
  </si>
  <si>
    <t>Authorization to Release Tax Information</t>
  </si>
  <si>
    <t>Community Outreach Plan</t>
  </si>
  <si>
    <t>Conditional Financial Commitments</t>
  </si>
  <si>
    <t>Development Team Experience and Capacity Review</t>
  </si>
  <si>
    <t>Development Team Consultant Statement</t>
  </si>
  <si>
    <t>Evidence of Site Control</t>
  </si>
  <si>
    <t>Exception Requests</t>
  </si>
  <si>
    <t>Federal Tax Identification Number Documentation</t>
  </si>
  <si>
    <t>Green Certification</t>
  </si>
  <si>
    <t>Legal Description</t>
  </si>
  <si>
    <t>List of Changes from Proposal Application</t>
  </si>
  <si>
    <t>Market Study</t>
  </si>
  <si>
    <t>Notification to Statewide Accessibility Groups</t>
  </si>
  <si>
    <t>Ohio Housing Locator</t>
  </si>
  <si>
    <t>Phase I Environmental Site Assessment</t>
  </si>
  <si>
    <t>Public Notification</t>
  </si>
  <si>
    <t>Related Party Transaction Questionnaire</t>
  </si>
  <si>
    <t>Relocation Plan</t>
  </si>
  <si>
    <t>Rental Subsidy Contract</t>
  </si>
  <si>
    <t>Supportive Services Plan &amp; Providers</t>
  </si>
  <si>
    <t>Utility Allowance Information</t>
  </si>
  <si>
    <t>Zoning</t>
  </si>
  <si>
    <t>Submission</t>
  </si>
  <si>
    <t>Multifamily Bond Financing Information</t>
  </si>
  <si>
    <t>Doc#</t>
  </si>
  <si>
    <t>DUE WITH</t>
  </si>
  <si>
    <t>Describe changes to the development team that occurred since the last HTC application round, if applicable.</t>
  </si>
  <si>
    <t>Commercial Areas and Fee-Driven Space</t>
  </si>
  <si>
    <t>Boost for Service Enriched</t>
  </si>
  <si>
    <t>Legally Required Wage Rates</t>
  </si>
  <si>
    <t># Units Set Aside</t>
  </si>
  <si>
    <t>HDAP Authorized Signor</t>
  </si>
  <si>
    <t>Other, Describe</t>
  </si>
  <si>
    <t>HTC</t>
  </si>
  <si>
    <t>Site/Building Address</t>
  </si>
  <si>
    <t>Annual Rent</t>
  </si>
  <si>
    <t>Total Basis</t>
  </si>
  <si>
    <t>SOURCES &amp; USES</t>
  </si>
  <si>
    <t>Total Uses</t>
  </si>
  <si>
    <t>Self-Syndicating?</t>
  </si>
  <si>
    <t>Perm1</t>
  </si>
  <si>
    <t>Perm2</t>
  </si>
  <si>
    <t>Other 5</t>
  </si>
  <si>
    <t>Perm 1</t>
  </si>
  <si>
    <t>Perm 2</t>
  </si>
  <si>
    <t>DefDev</t>
  </si>
  <si>
    <t>NHTF</t>
  </si>
  <si>
    <t>Total Qualified Basis</t>
  </si>
  <si>
    <t>Adjusted Basis with Boost</t>
  </si>
  <si>
    <t>HDL Guidelines</t>
  </si>
  <si>
    <t>HTC/PC Monitoring Fee</t>
  </si>
  <si>
    <t xml:space="preserve">This page auto-populates and is for developer/analyst information only; all developer fees must be reflected in budget. </t>
  </si>
  <si>
    <t xml:space="preserve">The majority of this page auto-calculates; enter only the limited information requested below, if applicable. </t>
  </si>
  <si>
    <t>Applicant Appealed Opportunity Rating?</t>
  </si>
  <si>
    <t>Equity</t>
  </si>
  <si>
    <t>Historic Equity</t>
  </si>
  <si>
    <t>Deferred Fee</t>
  </si>
  <si>
    <t>Minority Member1</t>
  </si>
  <si>
    <t>Minority Member2</t>
  </si>
  <si>
    <t xml:space="preserve">Other: </t>
  </si>
  <si>
    <t>Application/Development Consultant Fees (DV)</t>
  </si>
  <si>
    <t>Boost for Opportunity</t>
  </si>
  <si>
    <t>Must be reflected in Sources &amp; Uses</t>
  </si>
  <si>
    <t>Total Eligible Fee</t>
  </si>
  <si>
    <t xml:space="preserve">Application/Development Consultant Fees </t>
  </si>
  <si>
    <t xml:space="preserve"> 2. Phase I Environmental Review</t>
  </si>
  <si>
    <t xml:space="preserve"> 1. Land or Building Acquired</t>
  </si>
  <si>
    <t xml:space="preserve"> 3. Zoning Permit Obtained</t>
  </si>
  <si>
    <t>13. 50% Completion</t>
  </si>
  <si>
    <t>14. Occupancy Approval</t>
  </si>
  <si>
    <t>Must have knowledge to answer all application questions.</t>
  </si>
  <si>
    <t>Must have knowledge to answer general application questions.</t>
  </si>
  <si>
    <t>Contractor Overhead</t>
  </si>
  <si>
    <t>Contractor Profits</t>
  </si>
  <si>
    <t>Budget &amp; Costs</t>
  </si>
  <si>
    <t>Capital Needs Assessment (Rehab Only)</t>
  </si>
  <si>
    <t>Scope of Work (Rehab Only)</t>
  </si>
  <si>
    <t>If yes, describe</t>
  </si>
  <si>
    <t>5-Digit Zip (do NOT enter +4)</t>
  </si>
  <si>
    <t>11-Digit Census Tract</t>
  </si>
  <si>
    <t># Energy Star Units</t>
  </si>
  <si>
    <t>Does this project involve the permanent or temporary relocation of any commercial or residential tenants, or will any occupied portion of the project be made vacant?</t>
  </si>
  <si>
    <t>Are you seeking Community Housing Development Organization status?</t>
  </si>
  <si>
    <t>Portion of federal grants used to finance qualifying development costs</t>
  </si>
  <si>
    <t xml:space="preserve">Seeking CHDO Set-Aside? </t>
  </si>
  <si>
    <t>Seeking CHDO Designation?</t>
  </si>
  <si>
    <t>Permanent Parcel #(s)</t>
  </si>
  <si>
    <t>Seller(s) Name</t>
  </si>
  <si>
    <t>Seller(s) Address</t>
  </si>
  <si>
    <t>0% (Developer)</t>
  </si>
  <si>
    <t>0% (Co-Developer)</t>
  </si>
  <si>
    <t>0% (General Contractor)</t>
  </si>
  <si>
    <t>0% (LP)</t>
  </si>
  <si>
    <t>0% (NonProfit Entity)</t>
  </si>
  <si>
    <t>0% (NonProfit Entity #2)</t>
  </si>
  <si>
    <t>0% (Management Co.)</t>
  </si>
  <si>
    <t>0% (Architect)</t>
  </si>
  <si>
    <t>Percent of Requested Deferred</t>
  </si>
  <si>
    <t>Percent of Eligible Fee Deferred</t>
  </si>
  <si>
    <t>Credit Limit</t>
  </si>
  <si>
    <t>Percentage of QCT/DDA Sites</t>
  </si>
  <si>
    <t>HUD Sec. 202 or Sec. 811 Capital Advance</t>
  </si>
  <si>
    <t>11-Digit Census Tract, No Spaces/Decimals</t>
  </si>
  <si>
    <t>OHFA HDL Fee</t>
  </si>
  <si>
    <t>Developer-Charged Asset Management Fee (DV)</t>
  </si>
  <si>
    <t xml:space="preserve">Developer-Charged Asset Mgmt Fee </t>
  </si>
  <si>
    <t>Project Address</t>
  </si>
  <si>
    <t>Project City</t>
  </si>
  <si>
    <t>Project Zip</t>
  </si>
  <si>
    <t>Project County</t>
  </si>
  <si>
    <t>Senate District</t>
  </si>
  <si>
    <t>House District</t>
  </si>
  <si>
    <t>Project Type</t>
  </si>
  <si>
    <t>Owner Name</t>
  </si>
  <si>
    <t>Owner Address</t>
  </si>
  <si>
    <t>Owner City</t>
  </si>
  <si>
    <t>Owner County</t>
  </si>
  <si>
    <t>Owner State</t>
  </si>
  <si>
    <t>Owner Zip</t>
  </si>
  <si>
    <t>Owner FTI</t>
  </si>
  <si>
    <t>Non-Profit Set Aside</t>
  </si>
  <si>
    <t>AS phone</t>
  </si>
  <si>
    <t>AS email</t>
  </si>
  <si>
    <t>CP phone</t>
  </si>
  <si>
    <t>CP email</t>
  </si>
  <si>
    <t>PM Phone</t>
  </si>
  <si>
    <t>PM Email</t>
  </si>
  <si>
    <t>histTC</t>
  </si>
  <si>
    <t>Housing Credit Requested</t>
  </si>
  <si>
    <t>TDC/unit</t>
  </si>
  <si>
    <t>estPIS</t>
  </si>
  <si>
    <t>M2M</t>
  </si>
  <si>
    <t>PrevBIN</t>
  </si>
  <si>
    <t>TDC</t>
  </si>
  <si>
    <t xml:space="preserve">Acq Other </t>
  </si>
  <si>
    <t>Pre Other</t>
  </si>
  <si>
    <t>Site Other</t>
  </si>
  <si>
    <t>Hard Other</t>
  </si>
  <si>
    <t>Interim Other</t>
  </si>
  <si>
    <t>Professional Soft Other</t>
  </si>
  <si>
    <t>Compliance Other</t>
  </si>
  <si>
    <t>Reserves Other</t>
  </si>
  <si>
    <t>Full Name</t>
  </si>
  <si>
    <t>Development Consultant</t>
  </si>
  <si>
    <t>Site Details</t>
  </si>
  <si>
    <t>Townhome</t>
  </si>
  <si>
    <t>1 Floor</t>
  </si>
  <si>
    <t>2 Floor</t>
  </si>
  <si>
    <t>3 Floor</t>
  </si>
  <si>
    <t>4+ Floor</t>
  </si>
  <si>
    <t>Units/Type</t>
  </si>
  <si>
    <t>OHFA Data Extract</t>
  </si>
  <si>
    <t># Units in Building</t>
  </si>
  <si>
    <t>Zip Code (Additional 4 Digits)</t>
  </si>
  <si>
    <t>Zip Code (First 5 Digits)</t>
  </si>
  <si>
    <t>NON-BASIS</t>
  </si>
  <si>
    <t>Basis+Other</t>
  </si>
  <si>
    <t>COSTS</t>
  </si>
  <si>
    <t>Relocation Costs</t>
  </si>
  <si>
    <t>Relocation</t>
  </si>
  <si>
    <t xml:space="preserve"> </t>
  </si>
  <si>
    <t>Formula, auto-populate, blank, or other unlocked cell where overriding the formula is allowable but very unlikely</t>
  </si>
  <si>
    <t>Annual Debt Service</t>
  </si>
  <si>
    <t xml:space="preserve">FOR REFERENCE: 
Total Costs </t>
  </si>
  <si>
    <t>"Other" Wage Detail</t>
  </si>
  <si>
    <t xml:space="preserve">Senior/Housing for Older Persons Exception? </t>
  </si>
  <si>
    <t>Other1</t>
  </si>
  <si>
    <t>Other2</t>
  </si>
  <si>
    <t>Other3</t>
  </si>
  <si>
    <t>Other4</t>
  </si>
  <si>
    <t>Other5</t>
  </si>
  <si>
    <t>OHTF/HOME Request</t>
  </si>
  <si>
    <t>Type of OHTF/HOME Requested</t>
  </si>
  <si>
    <t>NHTF Request</t>
  </si>
  <si>
    <t xml:space="preserve">Include residential sites and buildings only. The same address may be entered multiple times for each building.  You may list multiple parcel numbers for a single building. </t>
  </si>
  <si>
    <t xml:space="preserve"> 4. Appraisal Completed </t>
  </si>
  <si>
    <t xml:space="preserve"> 5. Building Permits Obtained</t>
  </si>
  <si>
    <t xml:space="preserve"> 6. Construction Loan Committed</t>
  </si>
  <si>
    <t>10. Site Preparation and/or Demo Begins</t>
  </si>
  <si>
    <t>12. 10% Completion</t>
  </si>
  <si>
    <t>An executed OHFA Program Certification must be submitted signed by each general partner participating in the project. An original signature is not required, electronic signatures and signature images will be accepted. Do not edit or alter this text; the page is unlocked ONLY to permit uploading signature image.</t>
  </si>
  <si>
    <t>ACQ Eligible</t>
  </si>
  <si>
    <t>SR Eligible</t>
  </si>
  <si>
    <t>NC Eligible</t>
  </si>
  <si>
    <t>Total Eligible</t>
  </si>
  <si>
    <t>The following calculation is an estimate only. Applicants should work with counsel and/or the Ohio Department of Commerce for a thorough examination of prevailing wage requirements.</t>
  </si>
  <si>
    <t>Minority Member #2</t>
  </si>
  <si>
    <t>Minority Member #1</t>
  </si>
  <si>
    <t>Credit Request</t>
  </si>
  <si>
    <t>Total Development Cost</t>
  </si>
  <si>
    <t>Total Affordable Units</t>
  </si>
  <si>
    <t>BGF Project Information</t>
  </si>
  <si>
    <t>Enter Brief Narrative Description.</t>
  </si>
  <si>
    <t>Pts</t>
  </si>
  <si>
    <t xml:space="preserve">If the remaining useful life of one or more major system is less than the affordability period, the project will establish a replacement reserve and make monthly payments to the reserve that are adequate to repair or replace the systems as needed. </t>
  </si>
  <si>
    <t>Even if not seeking OHTF or HOME funds, project represents that it meets all HDAP eligibility requirements.</t>
  </si>
  <si>
    <t>TDC/SQFT</t>
  </si>
  <si>
    <t xml:space="preserve">Previous HDAP? </t>
  </si>
  <si>
    <t>Amortization Term (Years)</t>
  </si>
  <si>
    <t>HTC Within Last 10 Years?</t>
  </si>
  <si>
    <t xml:space="preserve">Has project ever received HDAP? </t>
  </si>
  <si>
    <t xml:space="preserve">Has project received HTC in last 10 years? </t>
  </si>
  <si>
    <t>RAD</t>
  </si>
  <si>
    <t>Other Details (grant, term if soft debt)</t>
  </si>
  <si>
    <t>Proposal Summary PDF</t>
  </si>
  <si>
    <t>Composite Score</t>
  </si>
  <si>
    <t>Lat</t>
  </si>
  <si>
    <t>Lon</t>
  </si>
  <si>
    <t>Enter any other underwriter notes in the section below.</t>
  </si>
  <si>
    <t>Housing Credits Requested</t>
  </si>
  <si>
    <t>Total Increase/Decrease over Application</t>
  </si>
  <si>
    <t>10 Yr Request</t>
  </si>
  <si>
    <t>Non-HTC</t>
  </si>
  <si>
    <t>% Market</t>
  </si>
  <si>
    <t>Election and Set Aside Summary</t>
  </si>
  <si>
    <t>Select the minimum set aside</t>
  </si>
  <si>
    <t>DeferredFee</t>
  </si>
  <si>
    <t>OTHER</t>
  </si>
  <si>
    <t>[describe]</t>
  </si>
  <si>
    <t># Mobility Units Identified</t>
  </si>
  <si>
    <t>Minimum # 504 Mobility Units:</t>
  </si>
  <si>
    <r>
      <t xml:space="preserve">Has project ever </t>
    </r>
    <r>
      <rPr>
        <b/>
        <u/>
        <sz val="11"/>
        <color theme="1"/>
        <rFont val="Arial"/>
        <family val="2"/>
        <scheme val="minor"/>
      </rPr>
      <t>applied</t>
    </r>
    <r>
      <rPr>
        <sz val="11"/>
        <color theme="1"/>
        <rFont val="Arial"/>
        <family val="2"/>
        <scheme val="minor"/>
      </rPr>
      <t xml:space="preserve"> for HTC?</t>
    </r>
  </si>
  <si>
    <r>
      <t xml:space="preserve">Has project ever </t>
    </r>
    <r>
      <rPr>
        <b/>
        <u/>
        <sz val="11"/>
        <color theme="1"/>
        <rFont val="Arial"/>
        <family val="2"/>
        <scheme val="minor"/>
      </rPr>
      <t>received</t>
    </r>
    <r>
      <rPr>
        <sz val="11"/>
        <color theme="1"/>
        <rFont val="Arial"/>
        <family val="2"/>
        <scheme val="minor"/>
      </rPr>
      <t xml:space="preserve"> HTC? </t>
    </r>
  </si>
  <si>
    <t>If 'yes' to any of above, what was project #(s)?</t>
  </si>
  <si>
    <t>Previous HTC Award?</t>
  </si>
  <si>
    <t>Previous HTC Application?</t>
  </si>
  <si>
    <t>Previous Project #</t>
  </si>
  <si>
    <t>Low Rise (1-6 stories)</t>
  </si>
  <si>
    <t>High Rise (7+ stories)</t>
  </si>
  <si>
    <t>Duplex/ Triplex/ Quad</t>
  </si>
  <si>
    <t>Single Family</t>
  </si>
  <si>
    <t>Manager Units</t>
  </si>
  <si>
    <t>Earliest Const</t>
  </si>
  <si>
    <t>Date Originally Constructed (Earliest)</t>
  </si>
  <si>
    <t>Total Buildings</t>
  </si>
  <si>
    <t>Project Tracking Number</t>
  </si>
  <si>
    <t>Average Net Rentable Square Footage per Low Income Unit</t>
  </si>
  <si>
    <t>#1br</t>
  </si>
  <si>
    <t>#2br</t>
  </si>
  <si>
    <t>Total LI units</t>
  </si>
  <si>
    <t>Single Family - 1 Floor</t>
  </si>
  <si>
    <t>Single Family - 2 Floor</t>
  </si>
  <si>
    <t>Single Family - 3 Floor</t>
  </si>
  <si>
    <t>Single Family - 4+ Floor</t>
  </si>
  <si>
    <t>Duplex/Triplex/Quad - 1 Floor</t>
  </si>
  <si>
    <t>Duplex/Triplex/Quad - 2 Floor</t>
  </si>
  <si>
    <t>Duplex/Triplex/Quad - 3 Floor</t>
  </si>
  <si>
    <t>Duplex/Triplex/Quad - 4+ Floor</t>
  </si>
  <si>
    <t>Townhome - 1 Floor</t>
  </si>
  <si>
    <t>Townhome - 2 Floor</t>
  </si>
  <si>
    <t>Townhome - 3 Floor</t>
  </si>
  <si>
    <t>Townhome - 4+ Floor</t>
  </si>
  <si>
    <t>Low Rise (1-6 Stories) - 1 Floor</t>
  </si>
  <si>
    <t>Low Rise (1-6 Stories) - 2 Floor</t>
  </si>
  <si>
    <t>Low Rise (1-6 Stories) - 3 Floor</t>
  </si>
  <si>
    <t>Low Rise (1-6 Stories) - 4+ Floor</t>
  </si>
  <si>
    <t>High Rise (7+ Stories) - 1 Floor</t>
  </si>
  <si>
    <t>High Rise (7+ Stories) - 2 Floor</t>
  </si>
  <si>
    <t>High Rise (7+ Stories) - 3 Floor</t>
  </si>
  <si>
    <t>High Rise (7+ Stories) - 4+ Floor</t>
  </si>
  <si>
    <t>Single Family - Elevator</t>
  </si>
  <si>
    <t>Single Family - Units/Type</t>
  </si>
  <si>
    <t>Duplex/Triplex/Quad - Elevator</t>
  </si>
  <si>
    <t>Duplex/Triplex/Quad - Units/Type</t>
  </si>
  <si>
    <t>Townhome - Elevator</t>
  </si>
  <si>
    <t>Townhome - Units/Type</t>
  </si>
  <si>
    <t>Low Rise (1-6 Stories) - Elevator</t>
  </si>
  <si>
    <t>Low Rise (1-6 Stories) - Units/Type</t>
  </si>
  <si>
    <t>High Rise (7+ Stories) - Elevator</t>
  </si>
  <si>
    <t>High Rise (7+ Stories) - Units/Type</t>
  </si>
  <si>
    <t>#Mobility Units</t>
  </si>
  <si>
    <t>#Sensory Units</t>
  </si>
  <si>
    <t>Largest:</t>
  </si>
  <si>
    <t>#Floors in Tallest Building</t>
  </si>
  <si>
    <t># of Sources</t>
  </si>
  <si>
    <t># of Construction Sources</t>
  </si>
  <si>
    <t>Was Co-Developer Agreement Executed?</t>
  </si>
  <si>
    <t>Actual Developer Fee per Unit</t>
  </si>
  <si>
    <t>Actual Developer Fee per Affordable Unit</t>
  </si>
  <si>
    <t>Acq+Rehab+New Basis, Minus Fee</t>
  </si>
  <si>
    <t>Developer Fee (DSB)</t>
  </si>
  <si>
    <t>Application/Development Consultant Fees (DSB)</t>
  </si>
  <si>
    <t>Construction Management Fees (DSB)</t>
  </si>
  <si>
    <t>Guarantee Fees (DSB)</t>
  </si>
  <si>
    <t>Developer-Charged Financing Fees (DSB)</t>
  </si>
  <si>
    <t>Developer-Charged Asset Management Fee (DSB)</t>
  </si>
  <si>
    <t>("DSB")</t>
  </si>
  <si>
    <t>Majority of Units' Construction Type</t>
  </si>
  <si>
    <t>AHFA</t>
  </si>
  <si>
    <t>Description, Including Purpose and Building Age</t>
  </si>
  <si>
    <t xml:space="preserve">MHA </t>
  </si>
  <si>
    <t>Nonprofit</t>
  </si>
  <si>
    <t>InState</t>
  </si>
  <si>
    <t>Market</t>
  </si>
  <si>
    <t>Experience</t>
  </si>
  <si>
    <t>Analyst Score &amp; Notes: Competitive</t>
  </si>
  <si>
    <t>Leverage</t>
  </si>
  <si>
    <t>Analyst Score &amp; Notes: Tiebreakers</t>
  </si>
  <si>
    <t xml:space="preserve">Is GC Affiliated with Owner and/or Developer? </t>
  </si>
  <si>
    <t>Affiliated GC?</t>
  </si>
  <si>
    <t>Ownership Type</t>
  </si>
  <si>
    <t>Ownership Entity Name</t>
  </si>
  <si>
    <t>If "Other," Describe</t>
  </si>
  <si>
    <t>% of Total Ownership Entity</t>
  </si>
  <si>
    <t>Tax Exempt Status</t>
  </si>
  <si>
    <t>Tax Exempt</t>
  </si>
  <si>
    <t>Authorized Signor</t>
  </si>
  <si>
    <t>Majority Member Name</t>
  </si>
  <si>
    <t>Minority Member Name 1</t>
  </si>
  <si>
    <t>Minority Member Name 2</t>
  </si>
  <si>
    <t>Owner Tax Exempt</t>
  </si>
  <si>
    <t>Authorized Signor (AS) First</t>
  </si>
  <si>
    <t>AS last</t>
  </si>
  <si>
    <t>Contact Person (CP) First</t>
  </si>
  <si>
    <t>CP Last</t>
  </si>
  <si>
    <t>PM Last</t>
  </si>
  <si>
    <t>Operating Income</t>
  </si>
  <si>
    <t>Prior Awards</t>
  </si>
  <si>
    <t>Budget/Costs</t>
  </si>
  <si>
    <t>Entity Info</t>
  </si>
  <si>
    <t>Is project participating in RAD?</t>
  </si>
  <si>
    <t>YES</t>
  </si>
  <si>
    <t>Managing Partner Name</t>
  </si>
  <si>
    <t>Accountant</t>
  </si>
  <si>
    <t>ManagingPartner %</t>
  </si>
  <si>
    <t>Majority ManagingPartner %</t>
  </si>
  <si>
    <t>Minority ManagingPartner1</t>
  </si>
  <si>
    <t>Minority ManagingPartner1 %</t>
  </si>
  <si>
    <t>Minority ManagingPartner2</t>
  </si>
  <si>
    <t>Minority ManagingPartner2 %</t>
  </si>
  <si>
    <t>Managing Partner</t>
  </si>
  <si>
    <t>Ownership Entity</t>
  </si>
  <si>
    <t>HTC Application Fee</t>
  </si>
  <si>
    <t>% of Majority Member</t>
  </si>
  <si>
    <t>% of Minority Member1</t>
  </si>
  <si>
    <t>% of Minority Member2</t>
  </si>
  <si>
    <t>Majority GP or Managing Member</t>
  </si>
  <si>
    <t>General Partnership: Managing Partner Parent</t>
  </si>
  <si>
    <t>General Partnership: Managing Member/Majority GP Parent</t>
  </si>
  <si>
    <t>General Partnership: Minority Member 1 Parent</t>
  </si>
  <si>
    <t>Owner-Paid Utilities for Common Areas and Units</t>
  </si>
  <si>
    <t>Average Test</t>
  </si>
  <si>
    <t>Income to Expense Ratio</t>
  </si>
  <si>
    <t>% Affordable and Occupied by 30% or less AMI</t>
  </si>
  <si>
    <t>Site Visit Documents</t>
  </si>
  <si>
    <t>Scattered Site Development Map</t>
  </si>
  <si>
    <t>Click Here to Read QAP</t>
  </si>
  <si>
    <t>Is development in a Participating Jurisdiction?</t>
  </si>
  <si>
    <t>All NHTF activities will meet minimum standards as set forth in the BGF Guidelines, the NHTF Allocation Plan, and the Multifamily Underwriting Guidelines. The project will adhere to the standards set forth in OHFA’s Uniform Relocation Documents to minimize displacement of residents during rehabilitation activities. The project will adhere to minimum rehabilitation standards as governed by the Housing Rehabilitation Handbook Part II as issued by Ohio Development Services Agency.</t>
  </si>
  <si>
    <t>HOME/OHTF Request</t>
  </si>
  <si>
    <t>LIHTC Lease Addendum</t>
  </si>
  <si>
    <t>Limited Partnership Agreement</t>
  </si>
  <si>
    <t>Management Company Capacity Review (AHFA tab)</t>
  </si>
  <si>
    <t>Physical Capital Needs Assessment &amp; Scope of Work</t>
  </si>
  <si>
    <t>if changed</t>
  </si>
  <si>
    <t>Phase II Environmental Site Assessment (if applicable)</t>
  </si>
  <si>
    <t>Document Naming Convention</t>
  </si>
  <si>
    <t>Condominimized Space Description</t>
  </si>
  <si>
    <t>Average Income</t>
  </si>
  <si>
    <t>Energy Star Certified Homes</t>
  </si>
  <si>
    <t>Energy Star MF New Construction</t>
  </si>
  <si>
    <t>LEED Certified</t>
  </si>
  <si>
    <t>ICC 700 NGBS Bronze</t>
  </si>
  <si>
    <t>2020 Enterprise Green Communities</t>
  </si>
  <si>
    <t xml:space="preserve">What type of the following subsidy(ies) will the development receive (select N/A if not subsidized)? </t>
  </si>
  <si>
    <t>Minimum # 504 Sensory Units:</t>
  </si>
  <si>
    <t># Sensory Units Identified</t>
  </si>
  <si>
    <t>Number Parking Spaces:</t>
  </si>
  <si>
    <t>11. Construction Start</t>
  </si>
  <si>
    <t>Enter the total square footage in each category below for all buildings in the project. For multifamily projects, use Building Owner Management Association (BOMA) Multi-Unit Residential Standards using the gross method. For single-family, 1, 2, or 3-family dwellings, or townhome buildings, use BOMA Gross Areas Standard. All square footages shall be calculated and certified by the Architect of Record. See Design and Architectural Standards for definitions and further guidance.</t>
  </si>
  <si>
    <t>Affordable to what % AMGI (rent limit)</t>
  </si>
  <si>
    <t>Occupied by what % AMGI (income limit)</t>
  </si>
  <si>
    <t>Describe Any Non-HTC units or other unique conditions that affect affordability.</t>
  </si>
  <si>
    <t># Affordable to ELI</t>
  </si>
  <si>
    <t>% HTC Units Affordable to ELI</t>
  </si>
  <si>
    <t>Meets 40/60</t>
  </si>
  <si>
    <t>Meets 20/50</t>
  </si>
  <si>
    <t>Meets AI</t>
  </si>
  <si>
    <t>Dev Support Budget</t>
  </si>
  <si>
    <t>Does project use Federal Historic Tax Credits?</t>
  </si>
  <si>
    <t>Does project use State Historic Tax Credits?</t>
  </si>
  <si>
    <t xml:space="preserve">Have buildings received an approved Part 1 from OHPO? </t>
  </si>
  <si>
    <t>Hard Construction/Building</t>
  </si>
  <si>
    <t>Contractor Fee</t>
  </si>
  <si>
    <t>Total Contractor Fees</t>
  </si>
  <si>
    <t>Boost for 25% ELI</t>
  </si>
  <si>
    <t>If you selected Average Income, how will you treat multiple buildings at 8609?</t>
  </si>
  <si>
    <t>If you selected the Average Income option and are opting for a separate building election, provide a compelling reason why a multibuilding election is not feasible.</t>
  </si>
  <si>
    <t>Years Nonprofit has continually served the county in which the project is located</t>
  </si>
  <si>
    <t>Is Nonprofit located in/committed to serve the county in which the project is located?</t>
  </si>
  <si>
    <t>Percentage of GP interest to be owned or controlled by Nonprofit</t>
  </si>
  <si>
    <t xml:space="preserve">The following chart should be filled out to reflect the roles that each member of the development team will play. Each role will be filled out in a percentage. For example, for the role of planning, the majority general partner may be involved 60% and the minority general partner 40%. All roles should equal 100%. </t>
  </si>
  <si>
    <t>New Affordability with 25%+ ELI</t>
  </si>
  <si>
    <t>Using Historic Tax Credits</t>
  </si>
  <si>
    <t>State-Certified CHDO</t>
  </si>
  <si>
    <t>Subtotal</t>
  </si>
  <si>
    <t>If For-Profit, Name of Nonprofit Parent</t>
  </si>
  <si>
    <t>GP with Nonprofit Parent</t>
  </si>
  <si>
    <t>Maximum Points = 5</t>
  </si>
  <si>
    <t>Maximum Points = 10</t>
  </si>
  <si>
    <t>Majority GP is a nonprofit organization</t>
  </si>
  <si>
    <t>Date Originally Constructed</t>
  </si>
  <si>
    <t>Estimated Placed in Service Date</t>
  </si>
  <si>
    <t xml:space="preserve">For variable rate loans, enter the present rate at which the variable rate will be computed. For loans without an amortization scheduled (ex. cash flow), enter the loan term as the amortization. OHFA will underwrite loans without an amortization schedule as if they possess an amortization term equal to the loan term. All non-OHFA financing must be conditionally committed at final application. </t>
  </si>
  <si>
    <t>Onsite Improvements</t>
  </si>
  <si>
    <t>Cost / GSF</t>
  </si>
  <si>
    <t>Offsite Improvements</t>
  </si>
  <si>
    <t>Total Onsite Improvements</t>
  </si>
  <si>
    <t>Total Offsite Improvements</t>
  </si>
  <si>
    <t>Siding/Soffit/Fascia/Sheathing</t>
  </si>
  <si>
    <t>Labor (unless included elsewhere) and material related to the installation of toilet and shower compartments; bathroom accessories including but not limited to grab bars, towel bars, toilet paper holders, soap dishes, medicine cabinets, bathroom mirrors; mailboxes; apartment numbers; etc.</t>
  </si>
  <si>
    <t>Labor and material related to the installation of all water and gas piping and fittings within five feet of structures; pipe insulation; bathtubs; water closets; sinks; lavatories; laundry trays; water heaters; pumps; and any other items related to the plumbing.</t>
  </si>
  <si>
    <t>*OHFA will consider reasonable adjustments to these requirements, not to exceed 4% across general requirements, overhead, and profit for contractors that are not related parties.</t>
  </si>
  <si>
    <t>Boost for QCT/DDA</t>
  </si>
  <si>
    <t>Management Company Name</t>
  </si>
  <si>
    <t>Minimum Set Aside Election</t>
  </si>
  <si>
    <t xml:space="preserve">Eligibility will be verified by reference to the architectural plans and unit breakdown in the AHFA. </t>
  </si>
  <si>
    <t>% of units with 3+ bedrooms</t>
  </si>
  <si>
    <t>OR</t>
  </si>
  <si>
    <t>Entry Level Job Access</t>
  </si>
  <si>
    <t>Poverty rate of census tract</t>
  </si>
  <si>
    <t>Type of Amenity</t>
  </si>
  <si>
    <t>Name of establishment</t>
  </si>
  <si>
    <t>Distance from site</t>
  </si>
  <si>
    <t>Full service supermarket with fresh produce</t>
  </si>
  <si>
    <t>Public recreation center</t>
  </si>
  <si>
    <t>Public park</t>
  </si>
  <si>
    <t>Public library</t>
  </si>
  <si>
    <t>Census tract TCI Score</t>
  </si>
  <si>
    <t>Eligible percentage</t>
  </si>
  <si>
    <r>
      <rPr>
        <i/>
        <sz val="11"/>
        <color theme="1"/>
        <rFont val="Arial"/>
        <family val="2"/>
        <scheme val="minor"/>
      </rPr>
      <t>Concentrated Job Center:</t>
    </r>
    <r>
      <rPr>
        <sz val="11"/>
        <color theme="1"/>
        <rFont val="Arial"/>
        <family val="2"/>
        <scheme val="minor"/>
      </rPr>
      <t xml:space="preserve"> Screenshot of the “On the Map” query website demonstrating eligibility.</t>
    </r>
  </si>
  <si>
    <t>Screenshot of OHFA interactive map evidencing that the development is sited within an eligible census tract.</t>
  </si>
  <si>
    <t>Eligibility will be determined by the AHFA. Units must be properly identified in the budget and supported by the market study.</t>
  </si>
  <si>
    <t>Eligibility will be determined by the AHFA and the submitted rental subsidy contract. Units must be properly identified in the budget.</t>
  </si>
  <si>
    <t xml:space="preserve">Eligibility will be determined through information provided in the AHFA and architectural plans. Applicants must also submit estimated costs for the selected item(s) and a narrative describing the feature(s) and why they were selected for the development.
</t>
  </si>
  <si>
    <t>Management Company Capacity Review</t>
  </si>
  <si>
    <t>Street Address</t>
  </si>
  <si>
    <t>City, State, Zip</t>
  </si>
  <si>
    <t>Email Address</t>
  </si>
  <si>
    <t>How many years has the management company been active in affordable housing management?</t>
  </si>
  <si>
    <t>Within the past 10 years, has a project for which the management company is a principal been involved in a bankruptcy, adverse fair housing settlement, adverse civil rights settlement or adverse federal or state government proceeding and settlement?</t>
  </si>
  <si>
    <t>If yes, please provide details:</t>
  </si>
  <si>
    <t xml:space="preserve">Within the past 10 years, has the management company ever been debarred or received a limited denial of participation by a federal or state agency from participating in a development program?    </t>
  </si>
  <si>
    <t>If yes, please list the project names, addresses and violation:</t>
  </si>
  <si>
    <t xml:space="preserve">Is the management company a subsidiary of another entity?  </t>
  </si>
  <si>
    <t>If yes, what entity:</t>
  </si>
  <si>
    <t>Identify any common interest or ownership between the property owner and the management company.</t>
  </si>
  <si>
    <t xml:space="preserve">Is the management company property incorporated in Ohio? </t>
  </si>
  <si>
    <t>Is the management company third-party managing in Ohio?</t>
  </si>
  <si>
    <t xml:space="preserve">If yes, does a management company representative hold an Ohio Real Estate Broker's license?  </t>
  </si>
  <si>
    <t>Person with License:</t>
  </si>
  <si>
    <t>License Number:</t>
  </si>
  <si>
    <t>Expiration Date:</t>
  </si>
  <si>
    <t>See below.</t>
  </si>
  <si>
    <t>If onsite fitness area:</t>
  </si>
  <si>
    <t>If onsite health clinic/wellness suite:</t>
  </si>
  <si>
    <t>If facility partnership:</t>
  </si>
  <si>
    <t xml:space="preserve">Provide a description of the onsite fitness space, including dimensions, equipment, an explanation of how the dimensions and equipment were determined, and a plan for how the space will be utilized. The architectural plans will be referenced to verify the fitness space. </t>
  </si>
  <si>
    <t>Provide a description of the explanation of how the dimensions and staffing were determined, an explanation of why this feature is most appropriate for the population being served, and a plan for how the space will be utilized. The architectural plans will be referenced to verify this space. If awarded HTC, the applicant will be required to include this information in the Supportive Services Plan due at 8609.</t>
  </si>
  <si>
    <t>Submit a letter committing to providing facility memberships to all residents for the required time period. Specify the name and location of the facility and the estimated per-person cost of a membership. If awarded HTC, the applicant will be required to submit an MOU or other documentation evidencing the partnership with the request for Form 8609.</t>
  </si>
  <si>
    <t>Dishwasher and garbage disposal in all units = 1 point</t>
  </si>
  <si>
    <t>Washer/dryer hookup in all units = 2 points</t>
  </si>
  <si>
    <t>Lease Addendum allowing for pet ownership = 2 points</t>
  </si>
  <si>
    <t>Interior and exterior security cameras = 2 points</t>
  </si>
  <si>
    <t>Private patio or balcony for at least 20% of units = 5 points</t>
  </si>
  <si>
    <t>Additional storage space for at least 50% of units = 5 points</t>
  </si>
  <si>
    <t>Secured parking = 5 points</t>
  </si>
  <si>
    <t>Eligible features (select all that apply)</t>
  </si>
  <si>
    <t>Mgr Units</t>
  </si>
  <si>
    <t xml:space="preserve">Eligibility for points under this criterion will be confirmed by reference to the Housing Credit tab in the AHFA. </t>
  </si>
  <si>
    <t>DevCo Field Name</t>
  </si>
  <si>
    <t>PrevailingWage</t>
  </si>
  <si>
    <t>Does project contain fewer than 6 units?</t>
  </si>
  <si>
    <t>Does project contain fewer than 25 units?</t>
  </si>
  <si>
    <t>This includes any loan, grant, low-income housing tax credit, or insurance furnished by the federal government or any of its agencies. The value of the low-income housing tax credits shall be calculated as the proceeds from the sale of the tax credits, less the costs of the sale.</t>
  </si>
  <si>
    <t>See ORC 176.05 (D)(1)(e) for more information on ownership requirements.</t>
  </si>
  <si>
    <t>HUD Subsidy Layering Test</t>
  </si>
  <si>
    <t>15 year Debt / No Debt Coverage Ratio Test:</t>
  </si>
  <si>
    <t xml:space="preserve">  DCR Between 1.10 - 1.45</t>
  </si>
  <si>
    <t>Cash Flow Return Ratio Test:</t>
  </si>
  <si>
    <t xml:space="preserve">  Expense Ratio &lt;=1.10</t>
  </si>
  <si>
    <t>With Debt</t>
  </si>
  <si>
    <t>Without Debt</t>
  </si>
  <si>
    <t xml:space="preserve">Average DCR  for years 1-15 : </t>
  </si>
  <si>
    <t>Compliance Period Cash Flow:</t>
  </si>
  <si>
    <t>This test evaluates aggregate cash flow over a 15 year term.</t>
  </si>
  <si>
    <t>Safe Harbor Percentage Allowance</t>
  </si>
  <si>
    <t>Fee as % of total project cost</t>
  </si>
  <si>
    <t>OHFA Safe Harbor</t>
  </si>
  <si>
    <t>Dev. Fee as % of Eligible Basis</t>
  </si>
  <si>
    <t>HUD Safe Harbor Standard*</t>
  </si>
  <si>
    <t>Ceiling Standard**</t>
  </si>
  <si>
    <t>Standard 1</t>
  </si>
  <si>
    <t>Contractor General Conditions</t>
  </si>
  <si>
    <t>Standard 2</t>
  </si>
  <si>
    <t>Standard 3</t>
  </si>
  <si>
    <t>Contractor / Builder Profit</t>
  </si>
  <si>
    <t>Standard 4</t>
  </si>
  <si>
    <t>15%**</t>
  </si>
  <si>
    <t>** HUD's Safe Harbor Developer Fee is calculated based off total project cost</t>
  </si>
  <si>
    <t>* OHFA Safe Harbor Developer Fee is calculated based off project's total eligible basis</t>
  </si>
  <si>
    <t>30-year Pro Forma</t>
  </si>
  <si>
    <t>Accessibility Stds-504</t>
  </si>
  <si>
    <t>Accessibility Stds-FHA</t>
  </si>
  <si>
    <t>HUD Fair Housing Accessibility Guidelines published on March 6, 1991 and the Supplemental Notice to Fair Housing Accessibility Guidelines: Questions and Answers about the Guidelines, published on June 28, 1994.</t>
  </si>
  <si>
    <t>HUD Fair Housing Act Design Manual</t>
  </si>
  <si>
    <t>ANSI A117.1 (1986), used with the Fair Housing Act, HUD's regulations, and the Guidelines.</t>
  </si>
  <si>
    <t>CABO/ANSI A117.1 (1992), used with the Fair Housing Act, HUD's regulations, and the Guidelines.</t>
  </si>
  <si>
    <t>ICC/ANSI A117.1 (1998), used with the Fair Housing Act, HUD's regulations, and the Guidelines.</t>
  </si>
  <si>
    <t>Code Requirements for Housing Accessibility 2000 (CRHA).</t>
  </si>
  <si>
    <t>International Building Code 2000 as amended by the 2001 Supplement to the International Codes.</t>
  </si>
  <si>
    <t>International Building Code 2003, with one condition*.</t>
  </si>
  <si>
    <t>ICC/ANSI A117.1 (2003), used with the Fair Housing Act, HUD's regulations, and the Guidelines.</t>
  </si>
  <si>
    <t>2006 International Building Code® (loose leaf)</t>
  </si>
  <si>
    <t xml:space="preserve"> 7. Permanent Financing Committed</t>
  </si>
  <si>
    <t xml:space="preserve"> 8. Construction Contract Executed</t>
  </si>
  <si>
    <t xml:space="preserve"> 9. Construction Loan Closing</t>
  </si>
  <si>
    <r>
      <t xml:space="preserve">MIP </t>
    </r>
    <r>
      <rPr>
        <b/>
        <sz val="8"/>
        <color theme="0"/>
        <rFont val="Arial"/>
        <family val="2"/>
        <scheme val="minor"/>
      </rPr>
      <t>(Mortgage Insurance Premiums)</t>
    </r>
  </si>
  <si>
    <t xml:space="preserve">If you have non-HTC square footage, including commercial or market-rate spaces, please provide a short (1,000 character or less) description of the proposed space below.  </t>
  </si>
  <si>
    <t>The Multifamily Lending Program provides financing to assist developments receiving new allocations of housing tax credits, for both new construction/adaptive reuse and the rehabilitation of existing units, developments funded under previous housing tax credit programs and between years 10 and 20 of their compliance period, and unique developments that help to meet the goals of the Ohio Housing Finance Agency in serving the needs of low and moderate income households. All MLP amounts must be properly reflected on the Budget &amp; Costs tab.</t>
  </si>
  <si>
    <t>Add'l 5% Allowable as Deferred/Foregone</t>
  </si>
  <si>
    <t>Historic (perm.)</t>
  </si>
  <si>
    <t>Historic (const.)</t>
  </si>
  <si>
    <t># Elevator Buildings</t>
  </si>
  <si>
    <t>HUD Sec. 236 w/ decoupling of IRP</t>
  </si>
  <si>
    <t xml:space="preserve">Section 8 HAP or equivalent </t>
  </si>
  <si>
    <t>Other, describe</t>
  </si>
  <si>
    <t>Subsidy source</t>
  </si>
  <si>
    <t>Square Feet</t>
  </si>
  <si>
    <t>Management Co.</t>
  </si>
  <si>
    <t>Affordable Housing Financing Application (AHFA)</t>
  </si>
  <si>
    <t>AHFA tabs:</t>
  </si>
  <si>
    <t>Competitive Support Documents (folder)</t>
  </si>
  <si>
    <t>HCGF Application (if applicable, AHFA tab)</t>
  </si>
  <si>
    <t xml:space="preserve">• Documents must be labeled using the following naming convention: "[Document#] [Document Name]". </t>
  </si>
  <si>
    <t>• Documents submitted in Adobe PDF format should be bookmarked; PDF "Portfolio" (which assembles multiple PDF documents into one file without merging them) should not be used.</t>
  </si>
  <si>
    <t>• Categories with multiple documents may be submitted in a folder that is named using the convention.</t>
  </si>
  <si>
    <t xml:space="preserve">• All documents must be highlighted and annotated directing staff to relevant portions.  </t>
  </si>
  <si>
    <t>• The only original signature documents OHFA requires are documents that will be recorded, promissory notes, and HDAP funding agreements; none of these documents are due with the AHFA.</t>
  </si>
  <si>
    <t xml:space="preserve">• This application requires Excel 2013 or newer. 
</t>
  </si>
  <si>
    <t xml:space="preserve">• Information written in the margins or the "Unlocked" tabs may not be seen by underwriters. </t>
  </si>
  <si>
    <t xml:space="preserve">• The document is best viewed at 85% zoom; YOU MAY NEED TO SCROLL RIGHT to enter all information.  </t>
  </si>
  <si>
    <t>• While you may complete the tabs in any order you see fit, the workbook is optimized for usability when the tabs are completed in the order displayed.</t>
  </si>
  <si>
    <t>10-year Total</t>
  </si>
  <si>
    <t>USDA assistance</t>
  </si>
  <si>
    <t xml:space="preserve">Are you offering Supportive Services for Population? </t>
  </si>
  <si>
    <t>Total SF</t>
  </si>
  <si>
    <t>Dedicated Program Space</t>
  </si>
  <si>
    <t>Average Net Rentable SF per LI Unit</t>
  </si>
  <si>
    <t>Non-Low-Income Floor Area</t>
  </si>
  <si>
    <t>Common Area (Public) + Common Area (Circulation) / Gross Square Footage</t>
  </si>
  <si>
    <t>LI unit area + Common Area (Circulation) + Limited Common Area (Private) + Tenant Storage</t>
  </si>
  <si>
    <t>Commercial Space Condo Areas + Commercial Areas + Market Rate Unit Area</t>
  </si>
  <si>
    <t xml:space="preserve">Has Owner/GP placed in service at least one historic project? </t>
  </si>
  <si>
    <t xml:space="preserve">Labor and material related to the installation of fireplaces, safety and life safety inspections, LEED, HERS or green-related costs not covered elsewhere. </t>
  </si>
  <si>
    <t>Completely Owner Paid Utilities</t>
  </si>
  <si>
    <t>Cash flow Loan?</t>
  </si>
  <si>
    <t xml:space="preserve">Labor and material related to sheet or panel waterproofing; bituminous or cementitious damp proofing; building paper; foundation drain tile; sealants and caulking; and any other type of waterproofing or damp proofing. </t>
  </si>
  <si>
    <t xml:space="preserve">Accessibility Requirement Satisfied? </t>
  </si>
  <si>
    <r>
      <rPr>
        <b/>
        <sz val="11"/>
        <color theme="1"/>
        <rFont val="Arial"/>
        <family val="2"/>
        <scheme val="minor"/>
      </rPr>
      <t xml:space="preserve">Using "Values Paste": </t>
    </r>
    <r>
      <rPr>
        <sz val="11"/>
        <color theme="1"/>
        <rFont val="Arial"/>
        <family val="2"/>
        <scheme val="minor"/>
      </rPr>
      <t>Values pastes the end result, but does not transfer over formulas or formatting. This prevents users from inadvertently interfering with important restrictions that already exists in a cell.  When pasting, right-click and select the option with a clipboard and the graphic showing numbers 123.</t>
    </r>
  </si>
  <si>
    <t>Boost for ModOpportunity+Change</t>
  </si>
  <si>
    <t>total floor space of the residential rental units in the project</t>
  </si>
  <si>
    <t>total floor space of the low-income units in the project</t>
  </si>
  <si>
    <t>Income limits</t>
  </si>
  <si>
    <t>Project Mgr (PM) First</t>
  </si>
  <si>
    <t>synd contact</t>
  </si>
  <si>
    <t>synd phone</t>
  </si>
  <si>
    <t>synd email</t>
  </si>
  <si>
    <t>ManagingPartner/General Partner</t>
  </si>
  <si>
    <t>Majority GP/Managing Partner</t>
  </si>
  <si>
    <t>HDAP Recipient- Address</t>
  </si>
  <si>
    <t>HDAP Recipient- City</t>
  </si>
  <si>
    <t>HDAP Recipient- Zip</t>
  </si>
  <si>
    <t>HDAP Recipient- State</t>
  </si>
  <si>
    <t>HDAP request</t>
  </si>
  <si>
    <t>MLP request</t>
  </si>
  <si>
    <t>HDL request</t>
  </si>
  <si>
    <t>Section 8/HAP?</t>
  </si>
  <si>
    <t>Funding requests</t>
  </si>
  <si>
    <t>Zip</t>
  </si>
  <si>
    <t>Urban?</t>
  </si>
  <si>
    <t>Current Project Number</t>
  </si>
  <si>
    <t>Qualified</t>
  </si>
  <si>
    <t>Applicable Wage</t>
  </si>
  <si>
    <t>Unit Info- 1 Bedroom</t>
  </si>
  <si>
    <t>Unit Info- 2 Bedroom</t>
  </si>
  <si>
    <t>Unit Info- 3 Bedroom</t>
  </si>
  <si>
    <t>Program Units</t>
  </si>
  <si>
    <t>Unit Info- AMI Levels- 20%</t>
  </si>
  <si>
    <t>Unit Info- AMI Levels- 30%</t>
  </si>
  <si>
    <t>Unit Info- AMI Levels- 40%</t>
  </si>
  <si>
    <t>Unit Info- AMI Levels- 50%</t>
  </si>
  <si>
    <t>Unit Info- AMI Levels- 60%</t>
  </si>
  <si>
    <t>Unit Info- AMI Levels- 70%</t>
  </si>
  <si>
    <t>Unit Info- AMI Levels- 80%</t>
  </si>
  <si>
    <t>LIHTC- Employee Units</t>
  </si>
  <si>
    <t>Owner- Organization Name</t>
  </si>
  <si>
    <t>Management Company- Organization Name</t>
  </si>
  <si>
    <t>General Contractor- Organization Name</t>
  </si>
  <si>
    <t>Development Consultant- Organization Name</t>
  </si>
  <si>
    <t>Developer- Organization Name</t>
  </si>
  <si>
    <t>Recipient- Organization Name</t>
  </si>
  <si>
    <t>Syndicator- Organization Name</t>
  </si>
  <si>
    <t>General Partner- Organization Name</t>
  </si>
  <si>
    <t>Buildings- Applicable Fraction</t>
  </si>
  <si>
    <t>LIHTC- Fed. Minimum Set-Aside</t>
  </si>
  <si>
    <t>Buildings- Completely Owner Paid Utilities</t>
  </si>
  <si>
    <t>Buildings- Date Built</t>
  </si>
  <si>
    <t>Set-Aside- Non-Profit Set Aside</t>
  </si>
  <si>
    <t>Set-Aside- CHDO Set Aside</t>
  </si>
  <si>
    <t>Capital Investment</t>
  </si>
  <si>
    <t>Select one for up to 5 points</t>
  </si>
  <si>
    <t>Select one for up to 10 points</t>
  </si>
  <si>
    <t>Entity owns land project located on?</t>
  </si>
  <si>
    <t>Owned, developed, or sponsored by CHDO?</t>
  </si>
  <si>
    <t>Total dollars of leveraged funding being claimed</t>
  </si>
  <si>
    <t>Funding Source</t>
  </si>
  <si>
    <t xml:space="preserve">Applied or Secured? </t>
  </si>
  <si>
    <t>If not yet secured, estimated date of funding decision</t>
  </si>
  <si>
    <t>Dollar Amount Claimed as Leverage</t>
  </si>
  <si>
    <t>Public Transit: Census tract TCI Score</t>
  </si>
  <si>
    <t>Development-provided transportation</t>
  </si>
  <si>
    <t>On-demand service</t>
  </si>
  <si>
    <r>
      <rPr>
        <i/>
        <sz val="11"/>
        <color theme="1"/>
        <rFont val="Arial"/>
        <family val="2"/>
        <scheme val="minor"/>
      </rPr>
      <t>Development-provided transportation:</t>
    </r>
    <r>
      <rPr>
        <sz val="11"/>
        <color theme="1"/>
        <rFont val="Arial"/>
        <family val="2"/>
        <scheme val="minor"/>
      </rPr>
      <t xml:space="preserve"> Written certification that applicant will provide transportation services that meet the described requirements and specify how the transportation services will be paid for. </t>
    </r>
  </si>
  <si>
    <r>
      <rPr>
        <i/>
        <sz val="11"/>
        <color theme="1"/>
        <rFont val="Arial"/>
        <family val="2"/>
        <scheme val="minor"/>
      </rPr>
      <t>On-Demand Service:</t>
    </r>
    <r>
      <rPr>
        <sz val="11"/>
        <color theme="1"/>
        <rFont val="Arial"/>
        <family val="2"/>
        <scheme val="minor"/>
      </rPr>
      <t xml:space="preserve"> Written certification that applicant will provide transportation services that meet the described requirements and specify how the transportation services will be paid for.</t>
    </r>
  </si>
  <si>
    <t>Screenshot of OHFA interactive map evidencing that the development is sited within an eligible county.</t>
  </si>
  <si>
    <t xml:space="preserve">Applicants must evidence this requirement in the Supportive Services Plan due at proposal, identifying partnerships with qualified service agencies, and detailing the specific services to be provided, where they will be provided, and how many hours per week of each service will be provided. </t>
  </si>
  <si>
    <t>minutes per unit per week</t>
  </si>
  <si>
    <t>Service coordinator on site</t>
  </si>
  <si>
    <t>Maximum Points = 15</t>
  </si>
  <si>
    <t>Hard construction cost per unit</t>
  </si>
  <si>
    <t xml:space="preserve">Supportive Service Coordinator </t>
  </si>
  <si>
    <t>Syndicator/Investor Information</t>
  </si>
  <si>
    <t>Other Partners</t>
  </si>
  <si>
    <t xml:space="preserve">Management Company </t>
  </si>
  <si>
    <t>Nonprofit Entities (if any)</t>
  </si>
  <si>
    <r>
      <t xml:space="preserve">Managing Partner Members </t>
    </r>
    <r>
      <rPr>
        <b/>
        <i/>
        <sz val="14"/>
        <color theme="5"/>
        <rFont val="Century Gothic"/>
        <family val="2"/>
      </rPr>
      <t>(General Partners, Managing Members)</t>
    </r>
  </si>
  <si>
    <r>
      <t xml:space="preserve">Managing Partner </t>
    </r>
    <r>
      <rPr>
        <b/>
        <i/>
        <sz val="14"/>
        <color theme="5"/>
        <rFont val="Century Gothic"/>
        <family val="2"/>
      </rPr>
      <t>(General Partner/Managing Member)</t>
    </r>
  </si>
  <si>
    <t xml:space="preserve">General Contractor </t>
  </si>
  <si>
    <t xml:space="preserve">Co-Developer </t>
  </si>
  <si>
    <t xml:space="preserve">Developer </t>
  </si>
  <si>
    <r>
      <t xml:space="preserve">HDAP Recipient </t>
    </r>
    <r>
      <rPr>
        <b/>
        <i/>
        <sz val="12"/>
        <color theme="5"/>
        <rFont val="Century Gothic"/>
        <family val="2"/>
      </rPr>
      <t>(leave blank if not applicable)</t>
    </r>
  </si>
  <si>
    <t xml:space="preserve">An executed OHFA Program Certification must be submitted signed by each general partner participating in the project. An original signature is not required, electronic signatures and signature images will be accepted. Do not edit or alter this text; the page is unlocked ONLY to permit uploading signature image.
The undersigned, having full power and authority to execute, deliver, perform, enter into and carry out the performance of this application, hereby represents and certifies under penalty of perjury that: (1) To the best of his/her knowledge, all information contained within, attached to, and submitted with this application is true and complete, and accurately describes the proposed project; and (2) Any additional information requested by the Ohio Housing Finance Agency will be supplied by the undersigned in order for this application to remain valid.
The undersigned affirmatively covenants that it does not owe (1) any delinquent taxes to the State of Ohio ("the State") or apolitical subdivision of the State; (2) any moneys to the State or a state agency for the administration or enforcement of any environmental laws of the State; and (3) any other moneys to the State, a state agency or a political subdivision of the State that are past due, whether the amounts owed are being contested in a court of law or not.
The undersigned agrees that the Ohio Housing Finance Agency (including its agencies) will at all times be indemnified and held harmless against all losses, costs, damages, expenses, and liabilities whatsoever nature or kind (including, but not limited to attorney's fees, litigation, and court costs, amounts paid in settlement, and amounts paid to discharge judgment, and any loss from judgment from the Internal Revenue Service) directly or indirectly resulting from, arising out of, or related to acceptance, consideration, and approval or disapproval of such allocation and/or funding request.
The undersigned acknowledges that any document submitted to the Ohio Housing Finance Agency is considered a public record and will be released in accordance with ORC Sections 149.43 and 175.12(B).
It is the responsibility of the undersigned and any of its employees, agents or sub-contractors in doing business with the Ohio Housing Finance Agency to adhere to and comply with all Federal Civil Rights legislation inclusive of the Fair Housing Laws, Section 504 of the Rehabilitation Act of 1973, the Americans With Disabilities Act as well as any state and local Civil Rights legislation along with any required related codes and laws.  Should the Ohio Housing Finance Agency not specify any requirements, such as design, it is none the less the owners responsibility to be aware of and comply with all non-discrimination provisions relating to race, color, religion, sex, sexual orientation, gender identity or expression, handicap, familial status, and national origin.  This includes design requirements for construction or rehabilitation, Equal Opportunity in regard to marketing and tenant selection and reasonable accommodation and modification for those tenants covered under the Laws.
</t>
  </si>
  <si>
    <r>
      <t xml:space="preserve">The undersigned will unconditionally comply with all policies, rules, regulations, and guidelines of the Ohio Housing Finance Agency including all requirements set forth in the Qualified Allocation Plan 
The undersigned declares that notification pursuant to ORC Section 175.07 and applicable program guidelines has been made.  The undersigned assumes full responsibility for notification and agrees to hold the OHFA harmless for notification requirements.
</t>
    </r>
    <r>
      <rPr>
        <b/>
        <i/>
        <sz val="11"/>
        <color theme="1"/>
        <rFont val="Arial"/>
        <family val="2"/>
        <scheme val="minor"/>
      </rPr>
      <t>If applying for the Housing Credit Program, the following additional conditions will apply:</t>
    </r>
    <r>
      <rPr>
        <sz val="11"/>
        <color theme="1"/>
        <rFont val="Arial"/>
        <family val="2"/>
        <scheme val="minor"/>
      </rPr>
      <t xml:space="preserve">
The undersigned is responsible for ensuring that the project consists or will consist of a qualified low-income building or buildings as defined in the Internal Revenue Code, Section 42, and will satisfy all applicable requirements of federal tax law in the acquisition, rehabilitation, or construction and operation of the project to receive low-income housing tax credits.
</t>
    </r>
    <r>
      <rPr>
        <b/>
        <i/>
        <sz val="11"/>
        <color theme="1"/>
        <rFont val="Arial"/>
        <family val="2"/>
        <scheme val="minor"/>
      </rPr>
      <t>If applying for the Housing Development Loan Program, the following additional conditions will apply:</t>
    </r>
    <r>
      <rPr>
        <sz val="11"/>
        <color theme="1"/>
        <rFont val="Arial"/>
        <family val="2"/>
        <scheme val="minor"/>
      </rPr>
      <t xml:space="preserve">
The undersigned is responsible for the provision of ORC 175, the pertinent Administrative Rules, and OHFA HDL Guidelines. The undersigned certifies that this project can proceed only "but for" the receipt of the Housing Development Loan.
</t>
    </r>
    <r>
      <rPr>
        <b/>
        <i/>
        <sz val="11"/>
        <color theme="1"/>
        <rFont val="Arial"/>
        <family val="2"/>
        <scheme val="minor"/>
      </rPr>
      <t>If applying for the Housing Development Assistance Program (HDAP), the following additional conditions will apply:</t>
    </r>
    <r>
      <rPr>
        <sz val="11"/>
        <color theme="1"/>
        <rFont val="Arial"/>
        <family val="2"/>
        <scheme val="minor"/>
      </rPr>
      <t xml:space="preserve">
The undersigned has full power and authority to execute, deliver, perform, enter into and carry out the performance of this proposal according to the undersigned's charter, by-laws, and/or articles of incorporation. The undersigned has read, understood and will abide by the current HDAP guidelines. The board of the nonprofit organization has passed a resolution authorizing submission of this request for funding to the Ohio Housing Finance Agency, and a copy of this resolution is attached. 
</t>
    </r>
  </si>
  <si>
    <t>Maximum Points = 20</t>
  </si>
  <si>
    <t>Total units:</t>
  </si>
  <si>
    <t>Total Hard Construction (Residential Rehab.)</t>
  </si>
  <si>
    <t>Eligible points</t>
  </si>
  <si>
    <t>1. Financially-Troubled Asset</t>
  </si>
  <si>
    <t>2. Good Management</t>
  </si>
  <si>
    <t>3. Risk of Market Rate Conversion</t>
  </si>
  <si>
    <t>A copy of the sales or purchase agreement or other sufficient proof of adherence to the requirements as described in the QAP and below.</t>
  </si>
  <si>
    <t>Year acquired</t>
  </si>
  <si>
    <t># of prior HTC applications by current owner</t>
  </si>
  <si>
    <t xml:space="preserve">A brief narrative, using the space below, describing the troubled asset and those steps that have or will be taken to put the asset back into productive use, AND </t>
  </si>
  <si>
    <t>Achievable Market Rents: 1 BR</t>
  </si>
  <si>
    <t>Affordable Rent Advantage: 1 BR</t>
  </si>
  <si>
    <t>Achievable Market Rents: 3 BR</t>
  </si>
  <si>
    <t>Affordable Rent Advantage: 3 BR</t>
  </si>
  <si>
    <t>Achievable Market Rents: 2 BR</t>
  </si>
  <si>
    <t>Affordable Rent Advantage: 2 BR</t>
  </si>
  <si>
    <t>Achievable Market Rents: 4+ BR</t>
  </si>
  <si>
    <t>Affordable Rent Advantage: 4+ BR</t>
  </si>
  <si>
    <t>Proof of the subsidy must be included with the application and reflected in the AHFA. Percentages will be rounded to the nearest whole number.</t>
  </si>
  <si>
    <t># affordable units with project-based rental subsidy</t>
  </si>
  <si>
    <t>If development involves the conversion and/or modernization of housing funded through HUD programs that do not have rental subsidies, how many units will be preserved?</t>
  </si>
  <si>
    <t>Earliest mortgage expiration date</t>
  </si>
  <si>
    <t>Eligible to compete?</t>
  </si>
  <si>
    <t>Expert Recommendations</t>
  </si>
  <si>
    <t>Applicants must submit the applicable letter of designation or recommendation with the proposal application.</t>
  </si>
  <si>
    <t>Sub-Pool Priorities: PSH</t>
  </si>
  <si>
    <t>Sources as % of TPC</t>
  </si>
  <si>
    <t>Percent of aff. units with subsidy</t>
  </si>
  <si>
    <t>Percent of aff. units for ELI renters</t>
  </si>
  <si>
    <t xml:space="preserve">
</t>
  </si>
  <si>
    <t>At proposal application, the applicant must identify the management company in the AHFA. The applicant must complete the Management Company Capacity Review tab in the AHFA at final application.</t>
  </si>
  <si>
    <t>List the number of tax credit properties and units that the management company currently manages.</t>
  </si>
  <si>
    <t>Property Name</t>
  </si>
  <si>
    <t>Address, City, State</t>
  </si>
  <si>
    <t>Property Mgmt Contact</t>
  </si>
  <si>
    <t>Contact Phone</t>
  </si>
  <si>
    <t>Contact Email</t>
  </si>
  <si>
    <t>Year Management Assumed</t>
  </si>
  <si>
    <t>Section I: Experience and Performance</t>
  </si>
  <si>
    <t>Out of state - total # properties</t>
  </si>
  <si>
    <t>Out of state - total # units</t>
  </si>
  <si>
    <t>In state - total # units</t>
  </si>
  <si>
    <t>In state - total # properties</t>
  </si>
  <si>
    <t>Provide the name, address, and contact information for the HTC properties the company currently manages.</t>
  </si>
  <si>
    <t xml:space="preserve">Has the management company or any of its personnel ever been involved in governmental or judicial action concerning a violation of Fair Housing Laws?                       </t>
  </si>
  <si>
    <t xml:space="preserve">Does the management company have any outstanding uncorrected 8823s?      </t>
  </si>
  <si>
    <t xml:space="preserve">Which of the following certifications does the management company require managers to obtain and maintain through continuing education? (Check all that apply)    </t>
  </si>
  <si>
    <t>Section II: Operations and Structure</t>
  </si>
  <si>
    <r>
      <rPr>
        <i/>
        <sz val="11"/>
        <color theme="1"/>
        <rFont val="Arial"/>
        <family val="2"/>
        <scheme val="minor"/>
      </rPr>
      <t xml:space="preserve">I hereby certify that the information above and any attached explanation(s) is/are true and correct. I understand that any misrepresentation, false information or omission may result in disqualification of the application and any other involving the same owner(s), principal(s), consultant(s) and/or application preparer(s). </t>
    </r>
    <r>
      <rPr>
        <sz val="11"/>
        <color theme="1"/>
        <rFont val="Arial"/>
        <family val="2"/>
        <scheme val="minor"/>
      </rPr>
      <t xml:space="preserve">
_______________________________                         ___________________________________   
Signature                                                                                Date
_______________________________                         ___________________________________   
Printed Name                                                                        Title
</t>
    </r>
  </si>
  <si>
    <r>
      <rPr>
        <b/>
        <sz val="11"/>
        <color theme="1"/>
        <rFont val="Arial"/>
        <family val="2"/>
        <scheme val="minor"/>
      </rPr>
      <t>Minimum Requirements:</t>
    </r>
    <r>
      <rPr>
        <sz val="11"/>
        <color theme="1"/>
        <rFont val="Arial"/>
        <family val="2"/>
        <scheme val="minor"/>
      </rPr>
      <t xml:space="preserve"> The management company must have managed at least five HTC and/or federally subsidized developments (each consisting of at least ten units) for at least one year each; or must have managed two HTC developments (each consisting of at least ten units) for at least three years each.</t>
    </r>
  </si>
  <si>
    <t>Does the management company meet this requirement?</t>
  </si>
  <si>
    <t>This page auto-populates, but will permit you to add a photo or rendering. On the Insert tab, select 'Pictures' to insert an image.</t>
  </si>
  <si>
    <t>Corrections</t>
  </si>
  <si>
    <t>DATE</t>
  </si>
  <si>
    <t>DESCRIPTION</t>
  </si>
  <si>
    <t>BGF Competitive Scoring - New Affordability</t>
  </si>
  <si>
    <t>Maximum BGF Eligible</t>
  </si>
  <si>
    <t>OHFA Total Score</t>
  </si>
  <si>
    <t>Required HDAP Rent Restrictions</t>
  </si>
  <si>
    <t>Analyst Notes: Required HDAP Rent Restrictions</t>
  </si>
  <si>
    <t>All HDAP developments must commit to the following rent restrictions based on the location of the proposed project.</t>
  </si>
  <si>
    <t>Projects in a HUD Participating Jurisdiction:</t>
  </si>
  <si>
    <t>Current percentage reflected in AHFA:</t>
  </si>
  <si>
    <t>A minimum of 40 percent of the affordable units must be affordable to households with incomes at or below 50 percent of AMI.</t>
  </si>
  <si>
    <t xml:space="preserve">Projects in a Non-HUD Participating Jurisdiction: </t>
  </si>
  <si>
    <t>A minimum of 35 percent of the affordable units must be affordable to households with incomes at or below 50 percent of AMI.</t>
  </si>
  <si>
    <t>All Projects:</t>
  </si>
  <si>
    <r>
      <t xml:space="preserve">In addition to the HDAP affordability requirements above, projects funded with NHTF must commit to providing affordable rents to extremely low income households through the </t>
    </r>
    <r>
      <rPr>
        <b/>
        <i/>
        <sz val="11"/>
        <color theme="1"/>
        <rFont val="Arial"/>
        <family val="2"/>
        <scheme val="minor"/>
      </rPr>
      <t xml:space="preserve">greater </t>
    </r>
    <r>
      <rPr>
        <sz val="11"/>
        <color theme="1"/>
        <rFont val="Arial"/>
        <family val="2"/>
        <scheme val="minor"/>
      </rPr>
      <t>of either:</t>
    </r>
  </si>
  <si>
    <t>10 percent of affordable units rent restricted at 30 percent of 30 percent AMI, or</t>
  </si>
  <si>
    <t>Min. NHTF Units Required</t>
  </si>
  <si>
    <t xml:space="preserve">5 units rent restricted at 30 percent of 30 percent AMI. </t>
  </si>
  <si>
    <t>Total units @ 30% AMI</t>
  </si>
  <si>
    <t>Analyst Notes: NHTF Threshold Requirements</t>
  </si>
  <si>
    <t>Analyst Notes: Certification</t>
  </si>
  <si>
    <t>If funded, the project will comply with all requirements of the NHTF program during the entire program period.</t>
  </si>
  <si>
    <t xml:space="preserve">All NHTF-funded housing will meet the accessibility requirements in 24 CFR part 8, which implements section 504 of the Rehabilitation Act of 1973 (29 U.S.C. 794), and Titles II and III of the Americans with Disabilities Act (42 U.S.C. 12131-12189) implemented at 28 CFR parts 35 and 36, as applicable. </t>
  </si>
  <si>
    <t>NHTF funds will not be used in connection with luxury housing. NHTF expenditures will be reasonable and based on actual costs.</t>
  </si>
  <si>
    <t>BGF Competitive Criteria - NEW AFFORDABILITY</t>
  </si>
  <si>
    <t>Geo Diversity</t>
  </si>
  <si>
    <t>1. Geographic Diversity</t>
  </si>
  <si>
    <t>Project is located in the one of the following areas as defined by OHFA’s Opportunity and Community Change Index or other sources as stated below.</t>
  </si>
  <si>
    <t>Community Change Index</t>
  </si>
  <si>
    <t>ELI</t>
  </si>
  <si>
    <t>2. Priority Housing Needs- ELI Targeting</t>
  </si>
  <si>
    <t># Affordable and Occupied by 30% or less AMI</t>
  </si>
  <si>
    <t>Points- PJ</t>
  </si>
  <si>
    <t>Points- Non-PJ</t>
  </si>
  <si>
    <t>Transit-PJ</t>
  </si>
  <si>
    <r>
      <rPr>
        <b/>
        <i/>
        <sz val="11"/>
        <color theme="1"/>
        <rFont val="Arial"/>
        <family val="2"/>
        <scheme val="minor"/>
      </rPr>
      <t>Required Supporting Documentation:</t>
    </r>
    <r>
      <rPr>
        <b/>
        <sz val="11"/>
        <color theme="1"/>
        <rFont val="Arial"/>
        <family val="2"/>
        <scheme val="minor"/>
      </rPr>
      <t xml:space="preserve"> </t>
    </r>
    <r>
      <rPr>
        <sz val="11"/>
        <color theme="1"/>
        <rFont val="Arial"/>
        <family val="2"/>
        <scheme val="minor"/>
      </rPr>
      <t>The applicant must submit a screenshot from the OHFA QAP Interactive Map (the New Affordability: Urban Opportunity, General Occupancy Urban Housing, and Senior Urban interactive maps all contain the Transportation map layer with this data) that evidences the development is located in a census tract with a TCI score applicable to the number of points being claimed.</t>
    </r>
  </si>
  <si>
    <r>
      <rPr>
        <b/>
        <i/>
        <sz val="11"/>
        <color theme="1"/>
        <rFont val="Arial"/>
        <family val="2"/>
        <scheme val="minor"/>
      </rPr>
      <t>Required Supporting Documentation:</t>
    </r>
    <r>
      <rPr>
        <b/>
        <sz val="11"/>
        <color theme="1"/>
        <rFont val="Arial"/>
        <family val="2"/>
        <scheme val="minor"/>
      </rPr>
      <t xml:space="preserve"> </t>
    </r>
    <r>
      <rPr>
        <sz val="11"/>
        <color theme="1"/>
        <rFont val="Arial"/>
        <family val="2"/>
        <scheme val="minor"/>
      </rPr>
      <t>The applicant must submit a written certification that they will provide transportation services that meet the above requirements and specify how the transportation services will be paid for.</t>
    </r>
  </si>
  <si>
    <t>OHFA QAP Interactive Map - select "Transportation" layer</t>
  </si>
  <si>
    <t>Ineligible for these points</t>
  </si>
  <si>
    <t>Select One:</t>
  </si>
  <si>
    <t>Severe-NPJ</t>
  </si>
  <si>
    <t>Project is located in a Non-Participating Jurisdiction and in a county with a high percentage of severe housing problems for renters as shown in the OHFA QAP Interactive Map.</t>
  </si>
  <si>
    <r>
      <rPr>
        <b/>
        <i/>
        <sz val="11"/>
        <color theme="1"/>
        <rFont val="Arial"/>
        <family val="2"/>
        <scheme val="minor"/>
      </rPr>
      <t>Required Supporting Documentation:</t>
    </r>
    <r>
      <rPr>
        <b/>
        <sz val="11"/>
        <color theme="1"/>
        <rFont val="Arial"/>
        <family val="2"/>
        <scheme val="minor"/>
      </rPr>
      <t xml:space="preserve"> </t>
    </r>
    <r>
      <rPr>
        <sz val="11"/>
        <color theme="1"/>
        <rFont val="Arial"/>
        <family val="2"/>
        <scheme val="minor"/>
      </rPr>
      <t>The applicant must submit a screenshot from the OHFA QAP Interactive Map that evidences the development is located in a county with a percentage in one of the below ranges.</t>
    </r>
  </si>
  <si>
    <t>OHFA QAP Interactive Map - select "Severe Housing Problems" layer</t>
  </si>
  <si>
    <t>Total Non-Fed/Non-OHFA Leverage</t>
  </si>
  <si>
    <t>% Non-Fed/Non-OHFA Leverage</t>
  </si>
  <si>
    <t>Cost Eff.</t>
  </si>
  <si>
    <t>5. Cost Efficiency</t>
  </si>
  <si>
    <t xml:space="preserve">Development budget reflects one of the below BGF per unit amounts. This will be calculated by dividing the total BGF amount requested by the total number of affordable units. </t>
  </si>
  <si>
    <r>
      <rPr>
        <b/>
        <i/>
        <sz val="11"/>
        <color theme="1"/>
        <rFont val="Arial"/>
        <family val="2"/>
        <scheme val="minor"/>
      </rPr>
      <t>Required Supporting Documentation:</t>
    </r>
    <r>
      <rPr>
        <b/>
        <sz val="11"/>
        <color theme="1"/>
        <rFont val="Arial"/>
        <family val="2"/>
        <scheme val="minor"/>
      </rPr>
      <t xml:space="preserve"> </t>
    </r>
    <r>
      <rPr>
        <sz val="11"/>
        <color theme="1"/>
        <rFont val="Arial"/>
        <family val="2"/>
        <scheme val="minor"/>
      </rPr>
      <t>None, OHFA will confirm eligibility by the AHFA and this application.</t>
    </r>
  </si>
  <si>
    <t>Amount of BGF Requested</t>
  </si>
  <si>
    <t>Number of affordable units</t>
  </si>
  <si>
    <t>BGF / Affordable Unit</t>
  </si>
  <si>
    <t>BGF Tiebreakers</t>
  </si>
  <si>
    <t>BGF Competitive Scoring - Preserved Affordability</t>
  </si>
  <si>
    <t>BGF Competitive Criteria - PRESERVED AFFORDABILITY</t>
  </si>
  <si>
    <t>PBRA</t>
  </si>
  <si>
    <t>1. Project-Based Rental Assistance</t>
  </si>
  <si>
    <t>Project commits to project-based rental assistance on the below number of units from one or more of the following sources: Section 8 or Rural Development rental subsidy; and/or Other local, state, or federal subsidy as determined by OHFA that limits tenant rental contribution to 30% of gross household income.</t>
  </si>
  <si>
    <t>HUD Section 8:</t>
  </si>
  <si>
    <t>RD Subsidy/Other:</t>
  </si>
  <si>
    <t>At-Risk</t>
  </si>
  <si>
    <t>3. At-Risk Property</t>
  </si>
  <si>
    <t>Choose one of the below three options.</t>
  </si>
  <si>
    <t>a) Default or Foreclosure</t>
  </si>
  <si>
    <t xml:space="preserve">Development meets all of the following: </t>
  </si>
  <si>
    <t xml:space="preserve">• Development is either at risk of default or foreclosure evidenced by notification from third-party lender(s); </t>
  </si>
  <si>
    <t>• Development was acquired by applicant in the last two years or has a purchase agreement in place contingent upon the award of credits, and had above conditions at the time of purchase, and seller was not a related entity; AND</t>
  </si>
  <si>
    <t>• The seller did not, or will not, receive any operating, maintenance, or other reserve funds as a result of or concurrent with the sale of the asset.</t>
  </si>
  <si>
    <t>Required Supporting Documentation:</t>
  </si>
  <si>
    <t>b) Need for Replacement</t>
  </si>
  <si>
    <t>Development has been become obsolete due to factors beyond the control of the current ownership and poses significant health and safety concerns in its current state. Demolition of the existing obsolete structure(s) and replacement with newly constructed units is more financially feasible than rehabilitation due to the scope of repairs and replacements needed. The replacement development must provide the same number of units that will be demolished.</t>
  </si>
  <si>
    <t>The applicant shall submit a brief narrative describing the ownership and management history, the factors that have caused the property to be in its current state, demonstration that sufficient operating expenses and replacement reserves will be in place for the replacement housing, and evidence that rehabilitation of the current structure(s) was explored before seeking to demolish the structure.</t>
  </si>
  <si>
    <t>c) Physical Condition</t>
  </si>
  <si>
    <t>The developer/owner must have been the owner for at least five years and must remain a part of the ownership structure if seeking points for this criterion.</t>
  </si>
  <si>
    <t>Scope of Work page reference(s):</t>
  </si>
  <si>
    <t>Rehab</t>
  </si>
  <si>
    <t>4. Rehab Scope</t>
  </si>
  <si>
    <t>Hard Construction-Residential Rehab.</t>
  </si>
  <si>
    <t>HCC / Units</t>
  </si>
  <si>
    <t>Points (rehab)</t>
  </si>
  <si>
    <t>Points (new construction)</t>
  </si>
  <si>
    <r>
      <t xml:space="preserve">3. Priority Housing Needs- </t>
    </r>
    <r>
      <rPr>
        <b/>
        <sz val="11"/>
        <color rgb="FFC00000"/>
        <rFont val="Arial"/>
        <family val="2"/>
        <scheme val="minor"/>
      </rPr>
      <t>Participating Jurisdiction ONLY</t>
    </r>
    <r>
      <rPr>
        <b/>
        <sz val="11"/>
        <color theme="1"/>
        <rFont val="Arial"/>
        <family val="2"/>
        <scheme val="minor"/>
      </rPr>
      <t>: Transit</t>
    </r>
  </si>
  <si>
    <r>
      <rPr>
        <i/>
        <sz val="11"/>
        <color theme="1"/>
        <rFont val="Arial"/>
        <family val="2"/>
        <scheme val="minor"/>
      </rPr>
      <t xml:space="preserve">Option 1: </t>
    </r>
    <r>
      <rPr>
        <sz val="11"/>
        <color theme="1"/>
        <rFont val="Arial"/>
        <family val="2"/>
        <scheme val="minor"/>
      </rPr>
      <t>Project is located in a Participating Jurisdiction and in a census tract with one of the below listed Transportation Connectivity Index scores as shown in the OHFA QAP Interactive Map.</t>
    </r>
  </si>
  <si>
    <r>
      <rPr>
        <i/>
        <sz val="11"/>
        <color theme="1"/>
        <rFont val="Arial"/>
        <family val="2"/>
        <scheme val="minor"/>
      </rPr>
      <t xml:space="preserve">Option 2: </t>
    </r>
    <r>
      <rPr>
        <sz val="11"/>
        <color theme="1"/>
        <rFont val="Arial"/>
        <family val="2"/>
        <scheme val="minor"/>
      </rPr>
      <t xml:space="preserve">Alternatively, </t>
    </r>
    <r>
      <rPr>
        <b/>
        <sz val="11"/>
        <color theme="1"/>
        <rFont val="Arial"/>
        <family val="2"/>
        <scheme val="minor"/>
      </rPr>
      <t>Senior developments and Permanent Supportive Housing developments only</t>
    </r>
    <r>
      <rPr>
        <sz val="11"/>
        <color theme="1"/>
        <rFont val="Arial"/>
        <family val="2"/>
        <scheme val="minor"/>
      </rPr>
      <t xml:space="preserve"> may receive points in this category for development-provided transportation. Development-provided transportation services are provided by the development (funded by development or partner organization) at no charge to the residents, and available to residents at least five times per week.</t>
    </r>
  </si>
  <si>
    <r>
      <t xml:space="preserve">3. Priority Housing Needs- </t>
    </r>
    <r>
      <rPr>
        <b/>
        <sz val="11"/>
        <color rgb="FFC00000"/>
        <rFont val="Arial"/>
        <family val="2"/>
        <scheme val="minor"/>
      </rPr>
      <t>Non-Participating Jurisdiction ONLY</t>
    </r>
    <r>
      <rPr>
        <b/>
        <sz val="11"/>
        <color theme="1"/>
        <rFont val="Arial"/>
        <family val="2"/>
        <scheme val="minor"/>
      </rPr>
      <t>: Severe Housing Problems</t>
    </r>
  </si>
  <si>
    <t>Itemize in below chart</t>
  </si>
  <si>
    <t>Labor and material and all pertinent costs related to installation of water, sewer, storm, electric, gas, telephone, cable, etc. Includes site staking/engineering for each, excavation of each, standby inspection fees for each, utility provider charges for each, removal of abandoned or relocated utility lines, and any other cost related to the installation of site utilities.</t>
  </si>
  <si>
    <t>Includes labor and material related to the installation of all concrete and asphalt, including all areas outside the building including, but not limited to, roads, streets, alleys, parking areas, side walks, stoops, porches, and any other site hard surface. This includes the labor and material for the preparation work, the base, the actual hard surface, and related field staking and concrete testing.</t>
  </si>
  <si>
    <t>Labor and material related to the installation of equipment for playground and other special areas; fences; handrails; permanent exterior signs; dumpsters; trash enclosures; mailboxes; flagpoles; gazebos; and non-framing canopies; swimming pools and all pool accessories, and any other site amenity.</t>
  </si>
  <si>
    <t>Labor and material related to final grading of top soil, the planting of trees; tree walls; flowers; flower beds; shrubs; grass and other ground covers; irrigation systems; edging, sprinkler systems, and any other work related to the exterior finish product.</t>
  </si>
  <si>
    <t>Labor and material related to interior and exterior trim and millwork; shelving; counter tops; prefinished paneling; exterior shutters; custom casework; ornamental items; wood window sills; handrails; interior doors, hardware, wire shelving; and any other item to finish the interior of the units not noted herein. Includes temporary hourly labor, final cleaning, punch list labor.</t>
  </si>
  <si>
    <t>Labor and material related to the installation of vinyl, aluminum, wood, or concrete/cement siding; soffit, fascia, shutters, columns, handrails, gable vents; fasteners and adhesives. All items related to the exterior finish of the buildings not included elsewhere herein.</t>
  </si>
  <si>
    <t>Labor and material related to the installation of warm air heating systems, including boilers, furnaces and ducts; electric resistance heating systems; heat pumps systems; kitchen, bath, and laundry ventilation systems; duct insulation; individual room air conditioning units; stack- on air conditioning units; compressors and racks which hold compressors; and any other items related to the heating, ventilation and air conditioning therein.</t>
  </si>
  <si>
    <t>Labor and material related to the installation of service equipment; raceways; conductors; wiring devices; lighting; fire and smoke alarm systems; communications systems; telephone service; television systems, including signal reception devices; all finish electrical components; and any other item related therein.</t>
  </si>
  <si>
    <t>Includes project management, superintendent, temporary construction sign, field office expense, storage trailers, portable restrooms, temporary utilities, dumpsters, etc. Cannot exceed 6% of CONSTRUCTION COSTS.</t>
  </si>
  <si>
    <t xml:space="preserve">Cannot exceed 2% OF CONSTRUCTION COSTS. </t>
  </si>
  <si>
    <t>Cannot exceed 6% OF CONSTRUCTION COSTS.</t>
  </si>
  <si>
    <t>Application Number (Final Application only)</t>
  </si>
  <si>
    <t>SET21</t>
  </si>
  <si>
    <t>SET22</t>
  </si>
  <si>
    <t>SET23</t>
  </si>
  <si>
    <t>SET24</t>
  </si>
  <si>
    <t>Affordability Type</t>
  </si>
  <si>
    <t>Lease-Purchase?</t>
  </si>
  <si>
    <t>Scattered Site?</t>
  </si>
  <si>
    <t>Single Family or Multifamily?</t>
  </si>
  <si>
    <t>Section 3 Required?</t>
  </si>
  <si>
    <t>Program/Round</t>
  </si>
  <si>
    <t>Overall Project Summary Information</t>
  </si>
  <si>
    <t>Subsidy Overview (select N/A if not subsidized)</t>
  </si>
  <si>
    <t>Adaptive Reuse</t>
  </si>
  <si>
    <t>Total Number</t>
  </si>
  <si>
    <t>All Units</t>
  </si>
  <si>
    <t>% of total</t>
  </si>
  <si>
    <t>% of affordable</t>
  </si>
  <si>
    <t>3+ BD</t>
  </si>
  <si>
    <t>Aff 3+ BD</t>
  </si>
  <si>
    <t>Aff 1 BD</t>
  </si>
  <si>
    <t>1 BD</t>
  </si>
  <si>
    <t>2 BD</t>
  </si>
  <si>
    <t>Aff 2 BD</t>
  </si>
  <si>
    <t>30% AMI</t>
  </si>
  <si>
    <t>40% AMI</t>
  </si>
  <si>
    <t>50% AMI</t>
  </si>
  <si>
    <t>60% AMI</t>
  </si>
  <si>
    <t>70% AMI</t>
  </si>
  <si>
    <t>80% AMI</t>
  </si>
  <si>
    <t>20% AMI</t>
  </si>
  <si>
    <t>Min Set Aside</t>
  </si>
  <si>
    <t>Population Served (majority of units)</t>
  </si>
  <si>
    <t>Affordability Type (majority of units)</t>
  </si>
  <si>
    <t xml:space="preserve">Is the subsidy existing or anticipated? </t>
  </si>
  <si>
    <t xml:space="preserve">If existing how many years remaining on subsidy contract? </t>
  </si>
  <si>
    <t>Is the development utilizing existing subsidy in a newly constructed building(s)? (Ex: HOPE VI, Choice Neighborhoods, or ported Sec. 8)</t>
  </si>
  <si>
    <t>Type of Subsidy (existing or anticipated):</t>
  </si>
  <si>
    <t>Service Enriched Housing Eligibility Check (select "N/A" if not SE Housing)</t>
  </si>
  <si>
    <t>Does the development serve target populations meeting all three of the following criteria?</t>
  </si>
  <si>
    <t xml:space="preserve">Permanent Supportive Housing (PSH): </t>
  </si>
  <si>
    <t>Does the development meet all of the following QAP requirements?</t>
  </si>
  <si>
    <t xml:space="preserve">50%+ units have Rental Subsidy </t>
  </si>
  <si>
    <t>Site &amp; Building Summary Information</t>
  </si>
  <si>
    <t>Floor Area Details</t>
  </si>
  <si>
    <t>Goal (date)</t>
  </si>
  <si>
    <t>Actual (date)</t>
  </si>
  <si>
    <t>HDAP: OHTF or HOME</t>
  </si>
  <si>
    <t>Historic Tax Credit Considerations</t>
  </si>
  <si>
    <t>Cost / Unit</t>
  </si>
  <si>
    <t>Permanent Financing Sources &amp; Uses</t>
  </si>
  <si>
    <t>Financial Income</t>
  </si>
  <si>
    <t>Service Income</t>
  </si>
  <si>
    <t>(Replacement Reserves)</t>
  </si>
  <si>
    <t>Projects must comply with the current Housing Development Loan Program guidelines. The following items must be submitted with the Final Application: 
1. Collateral in a form and value adequate to secure the amount of the principal and interest accrued during the life of the loan term; 
2. Narrative that describes when the funds will be needed and how repayment will be handled; and
3. A check for the HDL application fee in the amount of $600.</t>
  </si>
  <si>
    <t>• OHFA reserves the right to award HOME funds to CHDOs to meet the Agency's set-aside requirements, if necessary. 
• If you need help calculating the number of HDAP- or HOME-Assisted Units, please contact the OHFA Operations Manager. 
• If the HOME-Assisted Units are 12 or more and/or the project has received CDBG funds and has eight or more units, then Federal Davis-Bacon Wage Rates must be paid by the project. 
• If 811, 202 or 221(d)(4) financing is part of the project, Davis-Bacon wage rates apply, regardless of the number of units proposed.</t>
  </si>
  <si>
    <t>HDL, HDAP, &amp; MLP Financing Application</t>
  </si>
  <si>
    <r>
      <t xml:space="preserve">Multifamily Bonds Only - Applicants seeking final approval of multifamily bonds </t>
    </r>
    <r>
      <rPr>
        <u/>
        <sz val="11"/>
        <color theme="3"/>
        <rFont val="Arial"/>
        <family val="2"/>
        <scheme val="minor"/>
      </rPr>
      <t>only</t>
    </r>
    <r>
      <rPr>
        <sz val="11"/>
        <color theme="3"/>
        <rFont val="Arial"/>
        <family val="2"/>
        <scheme val="minor"/>
      </rPr>
      <t xml:space="preserve"> (i.e. applicant does not seek an allocation of non-competitive housing tax credits) must provide written notice to the Agency and its Issuer Counsel no less than 60 days preceding the desired OHFA Board approval date. At the discretion of OHFA, the Applicant may be required to conduct a planning meeting with OHFA staff to describe the project and give a preliminary indication of when the application will be submitted.</t>
    </r>
  </si>
  <si>
    <t>Describe Enhancement.</t>
  </si>
  <si>
    <t>2021 QCT</t>
  </si>
  <si>
    <t>Pool Eligibility</t>
  </si>
  <si>
    <t>Majority of units affordability type</t>
  </si>
  <si>
    <t>Eligible Points</t>
  </si>
  <si>
    <t>Subsidy</t>
  </si>
  <si>
    <t>Applicable Ratio</t>
  </si>
  <si>
    <t>A majority of units in the proposed development will be newly affordable.</t>
  </si>
  <si>
    <t>Click Here to Read MF Bond Guidelines</t>
  </si>
  <si>
    <t xml:space="preserve">Enter the date they purchased the property. </t>
  </si>
  <si>
    <t xml:space="preserve">Is the owner a LLC or LP? </t>
  </si>
  <si>
    <t xml:space="preserve">If yes, state the names of all principals. </t>
  </si>
  <si>
    <t xml:space="preserve">If different from the applicant, describe the current property owner(s) below. </t>
  </si>
  <si>
    <t>(9% Competitive HTC Applications only)</t>
  </si>
  <si>
    <t>Collateral</t>
  </si>
  <si>
    <t>Type of HTC seeking:</t>
  </si>
  <si>
    <t>Acquisition and Substantial Rehabilitation</t>
  </si>
  <si>
    <t>Substantial Rehabilitation</t>
  </si>
  <si>
    <t xml:space="preserve">AHFA </t>
  </si>
  <si>
    <t>HOW TO SUBMIT THE APPLICATION:</t>
  </si>
  <si>
    <t>HOW TO NAME AND ORGANIZATION THE APPLICATION SUBMISSION:</t>
  </si>
  <si>
    <t>Project Executive Summary</t>
  </si>
  <si>
    <t xml:space="preserve">Calendar of Actions </t>
  </si>
  <si>
    <t xml:space="preserve">Letter on Bond Structure </t>
  </si>
  <si>
    <t xml:space="preserve">Statement of Development </t>
  </si>
  <si>
    <t xml:space="preserve">Experience &amp; Capacity </t>
  </si>
  <si>
    <t>BONDS ONLY</t>
  </si>
  <si>
    <t>(Not applicable for BGF application- see BGF section for those requirements)</t>
  </si>
  <si>
    <t xml:space="preserve">NON-COMPETITIVE 4% HTC ONLY 
</t>
  </si>
  <si>
    <t>See QAP for details</t>
  </si>
  <si>
    <t>See Bond Guidelines for details</t>
  </si>
  <si>
    <t xml:space="preserve">Architectural Plans &amp; DCF Form </t>
  </si>
  <si>
    <t xml:space="preserve">COMPETITIVE 9% HTC  
</t>
  </si>
  <si>
    <t>Architectural Plans &amp; DCF Form</t>
  </si>
  <si>
    <t>• Only complete the competitive workbook relevant to the pool in which you are competing.</t>
  </si>
  <si>
    <t xml:space="preserve">• Error messages may appear and must be resolved by the applicant prior to submission. </t>
  </si>
  <si>
    <t xml:space="preserve">• A narrative section is provided to describe your project in detail; because this is made available, responses to point categories must be concise. </t>
  </si>
  <si>
    <t>• A blank, unlocked sheet is provided at the end of this workbook for applicant convenience. This blank sheet is for work product only and may not be reviewed by the underwriting analyst.</t>
  </si>
  <si>
    <t xml:space="preserve">Provide an answer for all sections, do not skip or leave blank any question. Use the "Not Applicable" (N/A) option if a question does not apply to your project. 
Use the following color-code to determine your response type: </t>
  </si>
  <si>
    <t xml:space="preserve">• Many sections of this workbook auto populate. You must follow all directions listed herein to ensure formulas operate correctly. Do not attempt to jailbreak this workbook or override formulas. OHFA will reset all formulas upon receipt and jailbroken responses will be lost. Copying and pasting from prior AHFAs is strongly discouraged as it can affect formulas; if attempting to paste information, use the "values paste" option (see sidebar) to ensure formatting is maintained. </t>
  </si>
  <si>
    <r>
      <t xml:space="preserve">• Make sure you are using the </t>
    </r>
    <r>
      <rPr>
        <b/>
        <sz val="11"/>
        <color theme="1"/>
        <rFont val="Arial"/>
        <family val="2"/>
        <scheme val="minor"/>
      </rPr>
      <t>most current AHFA</t>
    </r>
    <r>
      <rPr>
        <sz val="11"/>
        <color theme="1"/>
        <rFont val="Arial"/>
        <family val="2"/>
        <scheme val="minor"/>
      </rPr>
      <t xml:space="preserve"> from the Guidelines, Applications, and Forms page. 
</t>
    </r>
  </si>
  <si>
    <t>Helpful Links</t>
  </si>
  <si>
    <t>Non-Competitive 4% HTC Only Submission Requirements</t>
  </si>
  <si>
    <t>Competitive 9% HTC Submission Requirements</t>
  </si>
  <si>
    <t>Bonds Only Submission Requirements</t>
  </si>
  <si>
    <t xml:space="preserve">SKIP TO: </t>
  </si>
  <si>
    <t>HTC Units</t>
  </si>
  <si>
    <t>NP</t>
  </si>
  <si>
    <t>E&amp;W</t>
  </si>
  <si>
    <t>DF</t>
  </si>
  <si>
    <t>Analyst Score &amp; Notes: Resident Amenities</t>
  </si>
  <si>
    <t>Analyst Score &amp; Notes: Income Diversity</t>
  </si>
  <si>
    <t>Analyst Score &amp; Notes: Housing Need</t>
  </si>
  <si>
    <t>Analyst Score &amp; Notes: Sub-Pool Priorities</t>
  </si>
  <si>
    <t>Bedrooms</t>
  </si>
  <si>
    <t>Amenities</t>
  </si>
  <si>
    <t>Poverty</t>
  </si>
  <si>
    <t>Jobs</t>
  </si>
  <si>
    <t>Pool Set Aside</t>
  </si>
  <si>
    <t>Proposal or Final Application?</t>
  </si>
  <si>
    <t>HTC Request: NC</t>
  </si>
  <si>
    <t>HTC Request: Rehab</t>
  </si>
  <si>
    <t>HTC Request:: Acq/Rehab</t>
  </si>
  <si>
    <t>Total Market units</t>
  </si>
  <si>
    <t>Total units with subsidy</t>
  </si>
  <si>
    <t>20% Units- Income</t>
  </si>
  <si>
    <t>30% Units- Income</t>
  </si>
  <si>
    <t>40% Units- Income</t>
  </si>
  <si>
    <t>50% Units- Income</t>
  </si>
  <si>
    <t>60% Units- Income</t>
  </si>
  <si>
    <t>70% Units- Income</t>
  </si>
  <si>
    <t>80% Units- Income</t>
  </si>
  <si>
    <t>At or below 80%- Rent</t>
  </si>
  <si>
    <t>At or below 70%- Rent</t>
  </si>
  <si>
    <t>At or below 60%- Rent</t>
  </si>
  <si>
    <t>At or below 50%- Rent</t>
  </si>
  <si>
    <t>At or below 40%- Rent</t>
  </si>
  <si>
    <t>At or below 30%- Rent</t>
  </si>
  <si>
    <t>At or below 20%- Rent</t>
  </si>
  <si>
    <t>Unit Info- Rent Levels- 20%</t>
  </si>
  <si>
    <t>Unit Info- Rent Levels- 30%</t>
  </si>
  <si>
    <t>Unit Info- Rent Levels- 40%</t>
  </si>
  <si>
    <t>Unit Info- Rent Levels- 50%</t>
  </si>
  <si>
    <t>Unit Info- Rent Levels- 60%</t>
  </si>
  <si>
    <t>Unit Info- Rent Levels- 70%</t>
  </si>
  <si>
    <t>Unit Info- Rent Levels- 80%</t>
  </si>
  <si>
    <t>Rent limits</t>
  </si>
  <si>
    <t>Operating Budget: Effective Gross Income</t>
  </si>
  <si>
    <t>Operating Budget: EGI/unit</t>
  </si>
  <si>
    <t>Net Operating Income/unit</t>
  </si>
  <si>
    <t>Operating Budget</t>
  </si>
  <si>
    <t>TDC/LI unit</t>
  </si>
  <si>
    <t>Net Equity Factor</t>
  </si>
  <si>
    <t>Minimum Set-Aside</t>
  </si>
  <si>
    <t>HTCeligible-Acquisition</t>
  </si>
  <si>
    <t>HTCeligible-Rehab</t>
  </si>
  <si>
    <t>HTCeligible-NC</t>
  </si>
  <si>
    <t>MF Bond request</t>
  </si>
  <si>
    <t>PrevAwardYr-HDAP</t>
  </si>
  <si>
    <t>PrevAppliedYr-HTC</t>
  </si>
  <si>
    <t>PrevAllocationYr-HTC</t>
  </si>
  <si>
    <t xml:space="preserve">Screenshot from the QAP Interactive Map (with Transportation layer checked) demonstrating that the development is located in a census tract with a TCI score applicable to the number of points being claimed. 
</t>
  </si>
  <si>
    <t xml:space="preserve">For each amenity being submitted for point consideration, the applicant must submit a screenshot from the QAP Interactive Map (with applicable amenity layer checked) that shows the location of the development and the amenity being claimed for points. </t>
  </si>
  <si>
    <t>For any amenities not in the QAP Interactive Map, the applicant must submit a separate map that shows the location of the development and the amenity being claimed for points.</t>
  </si>
  <si>
    <t xml:space="preserve">Screenshot of the QAP Interactive Map (with applicable Low Poverty Area layer checked) demonstrating that the development is sited within an eligible census tract to earn points for this criterion. </t>
  </si>
  <si>
    <r>
      <rPr>
        <i/>
        <sz val="11"/>
        <color theme="1"/>
        <rFont val="Arial"/>
        <family val="2"/>
        <scheme val="minor"/>
      </rPr>
      <t>Entry Level Job Access:</t>
    </r>
    <r>
      <rPr>
        <sz val="11"/>
        <color theme="1"/>
        <rFont val="Arial"/>
        <family val="2"/>
        <scheme val="minor"/>
      </rPr>
      <t xml:space="preserve"> Screenshot of the QAP Interactive Map (with Entry Level Job Access layer checked) demonstrating that the development is located in a census tract with an Entry Level Job Access Job Ratio applicable to the number of points being claimed.</t>
    </r>
  </si>
  <si>
    <t>Units</t>
  </si>
  <si>
    <t>Revit</t>
  </si>
  <si>
    <r>
      <rPr>
        <i/>
        <sz val="11"/>
        <color theme="1"/>
        <rFont val="Arial"/>
        <family val="2"/>
        <scheme val="minor"/>
      </rPr>
      <t>Public Transit:</t>
    </r>
    <r>
      <rPr>
        <sz val="11"/>
        <color theme="1"/>
        <rFont val="Arial"/>
        <family val="2"/>
        <scheme val="minor"/>
      </rPr>
      <t xml:space="preserve"> Screenshot from the QAP Interactive Map (with Transportation layer checked) demonstrating that the development is located in
a census tract with a TCI score applicable to the number of points being claimed. 
</t>
    </r>
  </si>
  <si>
    <t>Transport</t>
  </si>
  <si>
    <t>Current subsidy?</t>
  </si>
  <si>
    <t>Years remaining?</t>
  </si>
  <si>
    <t>PCNA page reference(s)- past EUL:</t>
  </si>
  <si>
    <t>PCNA page reference- needs imm. replacement</t>
  </si>
  <si>
    <t>OR Demolition/New Construction</t>
  </si>
  <si>
    <t>Analyst Score &amp; Notes: Development Characteristics</t>
  </si>
  <si>
    <t>4. Need for Replacement</t>
  </si>
  <si>
    <t>A brief narrative describing the ownership and management history, the factors that have caused the property to be in its current state, demonstration that sufficient operating expenses and replacement reserves will be in place for the replacement housing, and evidence that rehabilitation of the current structure(s) was explored before seeking to demolish the structure.</t>
  </si>
  <si>
    <t xml:space="preserve">Provide a brief narrative describing the above items. Additional documentation may be attached for this item. </t>
  </si>
  <si>
    <t>Fin-Trouble</t>
  </si>
  <si>
    <t>Mgmt</t>
  </si>
  <si>
    <t>Risk of MRC</t>
  </si>
  <si>
    <t>Replace</t>
  </si>
  <si>
    <t>Analyst Score &amp; Notes: Preservation Priorities</t>
  </si>
  <si>
    <t>Analyst Score &amp; Notes: Preservation Leveraging</t>
  </si>
  <si>
    <t>Pres Units</t>
  </si>
  <si>
    <t>% of affordable units with subsidy</t>
  </si>
  <si>
    <t xml:space="preserve">Applicant must submit proof of the property’s estimated exit date, as well as an email from housing program staff at the USDA Rural Development office confirming the mortgage expiration dates for the property. Additional information on this requirement can be found in the Frequently Asked Questions document on the HTC webpage. </t>
  </si>
  <si>
    <t>Partners</t>
  </si>
  <si>
    <t>Analyst Score &amp; Notes: Local Service Providers</t>
  </si>
  <si>
    <t>Analyst Score &amp; Notes: Expert Recommendations</t>
  </si>
  <si>
    <t>Experts</t>
  </si>
  <si>
    <t>Analyst Score &amp; Notes: Neighborhood Development &amp; Impact Initiative</t>
  </si>
  <si>
    <t>High Need</t>
  </si>
  <si>
    <t>High Need County</t>
  </si>
  <si>
    <t>Homeless population</t>
  </si>
  <si>
    <t>Screenshot from the QAP Interactive Map (with High Need County layer checked) that demonstrates the development is sited within an eligible county to earn points for this criterion.</t>
  </si>
  <si>
    <t>A minimum of 50 percent of the total affordable units in the development must have a commitment for rental subsidy that covers the difference between 30 percent of the resident’s income and the fair market rent for the unit at proposal.</t>
  </si>
  <si>
    <t>The majority General Partner(s) must be a nonprofit organization with experience developing, owning, or managing supportive housing for the homeless or formerly homeless, and individuals and families with special needs.</t>
  </si>
  <si>
    <t>50%+ units have Rental Subsidy?</t>
  </si>
  <si>
    <t xml:space="preserve">The proposed development must meet the State of Ohio Permanent Supportive Housing definition and serve target populations meeting all three of the following criteria: </t>
  </si>
  <si>
    <t>Eligible activity</t>
  </si>
  <si>
    <t>2. Leverage</t>
  </si>
  <si>
    <t xml:space="preserve">Any currently outstanding OHFA payments (HDAP repayments, HDL, MLP, etc.)? </t>
  </si>
  <si>
    <t xml:space="preserve"> Any outstanding 8823s?</t>
  </si>
  <si>
    <r>
      <rPr>
        <b/>
        <sz val="11"/>
        <rFont val="Arial"/>
        <family val="2"/>
        <scheme val="minor"/>
      </rPr>
      <t xml:space="preserve">Instructions: </t>
    </r>
    <r>
      <rPr>
        <sz val="11"/>
        <rFont val="Arial"/>
        <family val="2"/>
        <scheme val="minor"/>
      </rPr>
      <t xml:space="preserve">Complete this table by detailing all of the housing developments undertaken by your organization since 2015. Do not leave any column items blank.  If your organization performed more than one role per project make sure you repeat that project on another line so all roles are disclosed. If need, additional experience many be submitted in a separate worksheet containing all column headers below.  </t>
    </r>
  </si>
  <si>
    <r>
      <rPr>
        <b/>
        <sz val="11"/>
        <color theme="1"/>
        <rFont val="Arial"/>
        <family val="2"/>
        <scheme val="minor"/>
      </rPr>
      <t xml:space="preserve">1. Ownership entity and interest: </t>
    </r>
    <r>
      <rPr>
        <sz val="11"/>
        <color theme="1"/>
        <rFont val="Arial"/>
        <family val="2"/>
        <scheme val="minor"/>
      </rPr>
      <t>Indicate the type of ownership entity, the split of ownership interest between the partners, and how this will be determined. Also, how change or sale of ownership interest occurs:  how partners acquire interest from other partners, rights of 1st refusal by other partners, and succession in event of death/demise of partner.</t>
    </r>
  </si>
  <si>
    <r>
      <rPr>
        <b/>
        <sz val="11"/>
        <color theme="1"/>
        <rFont val="Arial"/>
        <family val="2"/>
        <scheme val="minor"/>
      </rPr>
      <t>2. Decision-making:</t>
    </r>
    <r>
      <rPr>
        <sz val="11"/>
        <color theme="1"/>
        <rFont val="Arial"/>
        <family val="2"/>
        <scheme val="minor"/>
      </rPr>
      <t xml:space="preserve"> Indicate how the partners will make decisions (voting, consensus, etc.)  Voting rights are usually based on ownership interest, but some key decisions that must be made jointly or by consensus, such as incurring debt or financial obligations and significant changes in project scope. Also, what decisions individual partners can make in fulfilling developer obligations.</t>
    </r>
  </si>
  <si>
    <r>
      <rPr>
        <b/>
        <sz val="11"/>
        <color theme="1"/>
        <rFont val="Arial"/>
        <family val="2"/>
        <scheme val="minor"/>
      </rPr>
      <t>3. Division of responsibilities:</t>
    </r>
    <r>
      <rPr>
        <sz val="11"/>
        <color theme="1"/>
        <rFont val="Arial"/>
        <family val="2"/>
        <scheme val="minor"/>
      </rPr>
      <t xml:space="preserve"> Indicate how the responsibilities of the development will be split among the partners: management of the joint venture, acquisition, financing, design, local approvals, construction, marketing and occupancy. What rights to complete exist if a partner fails to fulfill its responsibilities.</t>
    </r>
  </si>
  <si>
    <r>
      <rPr>
        <b/>
        <sz val="11"/>
        <color theme="1"/>
        <rFont val="Arial"/>
        <family val="2"/>
        <scheme val="minor"/>
      </rPr>
      <t>4. Split of developer fees:</t>
    </r>
    <r>
      <rPr>
        <sz val="11"/>
        <color theme="1"/>
        <rFont val="Arial"/>
        <family val="2"/>
        <scheme val="minor"/>
      </rPr>
      <t xml:space="preserve"> Indicate how the developer fees will be split among the partners. Provide a schedule of values with payment amounts below for each responsibility.</t>
    </r>
  </si>
  <si>
    <r>
      <rPr>
        <b/>
        <sz val="11"/>
        <color theme="1"/>
        <rFont val="Arial"/>
        <family val="2"/>
        <scheme val="minor"/>
      </rPr>
      <t>5. Guarantees:</t>
    </r>
    <r>
      <rPr>
        <sz val="11"/>
        <color theme="1"/>
        <rFont val="Arial"/>
        <family val="2"/>
        <scheme val="minor"/>
      </rPr>
      <t xml:space="preserve"> Indicate which partners are responsible for guarantees to lenders and limited partners, and the compensation associated with those guarantees.</t>
    </r>
  </si>
  <si>
    <r>
      <rPr>
        <b/>
        <sz val="11"/>
        <color theme="1"/>
        <rFont val="Arial"/>
        <family val="2"/>
        <scheme val="minor"/>
      </rPr>
      <t>6. Dispute resolution:</t>
    </r>
    <r>
      <rPr>
        <sz val="11"/>
        <color theme="1"/>
        <rFont val="Arial"/>
        <family val="2"/>
        <scheme val="minor"/>
      </rPr>
      <t xml:space="preserve"> Indicate how the parties will resolve situations when there is disagreement (mediation, arbitration, etc.)</t>
    </r>
  </si>
  <si>
    <r>
      <rPr>
        <b/>
        <sz val="11"/>
        <color theme="1"/>
        <rFont val="Arial"/>
        <family val="2"/>
        <scheme val="minor"/>
      </rPr>
      <t>7. Termination:</t>
    </r>
    <r>
      <rPr>
        <sz val="11"/>
        <color theme="1"/>
        <rFont val="Arial"/>
        <family val="2"/>
        <scheme val="minor"/>
      </rPr>
      <t xml:space="preserve"> Indicate how the partnership can be terminated, either before the project is completed or after all work has been completed.   If a “handoff” from one partner to another is contemplated  on completion, how that will occur.</t>
    </r>
  </si>
  <si>
    <t>Achievable Market Rents: Efficiency</t>
  </si>
  <si>
    <t>Affordable Rent Advantage: Efficiency</t>
  </si>
  <si>
    <t>#3+br</t>
  </si>
  <si>
    <t>#1br- affordable</t>
  </si>
  <si>
    <t>#2br- affordable</t>
  </si>
  <si>
    <t>#3+br- affordable</t>
  </si>
  <si>
    <t>Supp Service Coord</t>
  </si>
  <si>
    <t>HDAP FTI#</t>
  </si>
  <si>
    <t>HDAP AuthSign</t>
  </si>
  <si>
    <t>HDAP AuthSign Title</t>
  </si>
  <si>
    <t>HUD 202/811</t>
  </si>
  <si>
    <t>HUD 236</t>
  </si>
  <si>
    <t>Total Points-UrbanOpp</t>
  </si>
  <si>
    <t>Total Points-GenOcc</t>
  </si>
  <si>
    <t>Total Points-SeniorUrb</t>
  </si>
  <si>
    <t>Total Points-NonUrban</t>
  </si>
  <si>
    <t>Total Points-HUDPres</t>
  </si>
  <si>
    <t>Total Points-USDAPres</t>
  </si>
  <si>
    <t>Total Points-PSH</t>
  </si>
  <si>
    <t>Total Points-SubAbuse</t>
  </si>
  <si>
    <t>Total Points-SingleFam</t>
  </si>
  <si>
    <t>Basis Boost</t>
  </si>
  <si>
    <t>Oper/Maint TOTAL</t>
  </si>
  <si>
    <t>Tax/Ins TOTAL</t>
  </si>
  <si>
    <t>Total Annual Expenses</t>
  </si>
  <si>
    <t>Total Annual Expenses/unit</t>
  </si>
  <si>
    <t>Basic/locational</t>
  </si>
  <si>
    <t>Building info</t>
  </si>
  <si>
    <t>Rental/Operating Subsidy</t>
  </si>
  <si>
    <t>Population set-asides</t>
  </si>
  <si>
    <t>Wage rates</t>
  </si>
  <si>
    <t>Scoring</t>
  </si>
  <si>
    <t>Unit info</t>
  </si>
  <si>
    <t>Building/unit summary info</t>
  </si>
  <si>
    <t>BGF Total Request</t>
  </si>
  <si>
    <t>**These units cannot overlap with the units identified in G19 and G22.**</t>
  </si>
  <si>
    <t>The management company and/or owner will meet the requirements for tenant protections and selection as outlined in § 93.303, including requirements for affirmative marketing in § 93.350. They will also consider mitigating criteria in deciding whether to select any tenant in the development, including but not limited to regarding the following circumstances: (1) Tenant-applicants lacking proof of employment and/or income at three or more times the monthly cost of rent; (2) Tenant-applicants with no credit history; and (3) Tenant-applicants with an eviction history.</t>
  </si>
  <si>
    <r>
      <rPr>
        <b/>
        <sz val="11"/>
        <color theme="1"/>
        <rFont val="Arial"/>
        <family val="2"/>
        <scheme val="minor"/>
      </rPr>
      <t>Tenant Recruitment and Selection.</t>
    </r>
    <r>
      <rPr>
        <sz val="11"/>
        <color theme="1"/>
        <rFont val="Arial"/>
        <family val="2"/>
        <scheme val="minor"/>
      </rPr>
      <t xml:space="preserve"> Is there a tenant selection process that meets all requirements set forth in NHTF Allocation Plan and Interim Rule/24 CFR 93.303? If yes, briefly describe the NHTF tenant recruitment and selection process. Narrative must address how the development will "consider mitigating criteria in deciding whether to select any tenant" who lacks proof of employment at three times or more of the monthly rent, has no credit history, or has an eviction history. </t>
    </r>
  </si>
  <si>
    <r>
      <rPr>
        <b/>
        <sz val="11"/>
        <color theme="1"/>
        <rFont val="Arial"/>
        <family val="2"/>
        <scheme val="minor"/>
      </rPr>
      <t xml:space="preserve">Experience.  </t>
    </r>
    <r>
      <rPr>
        <sz val="11"/>
        <color theme="1"/>
        <rFont val="Arial"/>
        <family val="2"/>
        <scheme val="minor"/>
      </rPr>
      <t>Applicants must demonstrate sufficient experience and capacity to:
• Own, construct, rehabilitate, manage, and operate affordable multifamily rental housing;
• Undertake, comply, and manage eligible NHTF activity; and
• Manage other programs that may be used in conjunction with NHTF funds including, but not limited to, HOME and OHTF.
Describe how you meet the above requirements.</t>
    </r>
  </si>
  <si>
    <t>Threshold Requirements for NHTF Funding (Must be completed by ALL applicants, even if not requesting NHTF funds)</t>
  </si>
  <si>
    <r>
      <t xml:space="preserve">Threshold Requirements for NHTF Funding </t>
    </r>
    <r>
      <rPr>
        <b/>
        <sz val="12"/>
        <color theme="0"/>
        <rFont val="Arial"/>
        <family val="2"/>
        <scheme val="minor"/>
      </rPr>
      <t>(Must be completed by ALL applicants, even if not requesting NHTF funds)</t>
    </r>
  </si>
  <si>
    <t>Required Environmental Provisions</t>
  </si>
  <si>
    <t>Developments utilizing OHTF, HOME, or NHTF are required to undergo an environmental review to determine eligibility for funding and any required site-specific mitigations that will need to be completed by the project. Each funding source has separate and distinct environmental requirements. Applicants must review all applicable environmental requirements and communicate any inability to utilize one of these BGF funding sources to OHFA as part of an Exception Request. 
• HOME requirements: 24 CFR § 92.352
• NHTF requirements: 24 CFR § 93.301 (f)
• OHTF requirements: OHFA Standards @ https://ohiohome.org/ppd/documents/OHTF-EnvironmentalReviewStandards.pdf</t>
  </si>
  <si>
    <r>
      <t xml:space="preserve">If yes, is it a requirement that would prohibit the project from utilizing the funding source? </t>
    </r>
    <r>
      <rPr>
        <i/>
        <sz val="11"/>
        <color theme="1"/>
        <rFont val="Arial"/>
        <family val="2"/>
        <scheme val="minor"/>
      </rPr>
      <t>(Please be aware that any type of development in a floodplain or wetland, including grading, mitigation, and other activities that are allowable under the HOME program may be PROHIBITED under other funding sources)</t>
    </r>
  </si>
  <si>
    <t xml:space="preserve">Are there questions regarding the project's ability to meet any of the environmental requirements for ANY of the BGF funding sources? </t>
  </si>
  <si>
    <t>4. Leverage</t>
  </si>
  <si>
    <t>Sources of non-federal and non-OHFA funding included in D131:</t>
  </si>
  <si>
    <t xml:space="preserve">Eligible category: </t>
  </si>
  <si>
    <t>Total sites, construction type</t>
  </si>
  <si>
    <t>Percent of total</t>
  </si>
  <si>
    <t>Base Points</t>
  </si>
  <si>
    <t>Total Points</t>
  </si>
  <si>
    <t>Subject to verification by OHFA</t>
  </si>
  <si>
    <t>Number of units affordable to individuals at or below 30% AMI</t>
  </si>
  <si>
    <t>Geographic Diversity points</t>
  </si>
  <si>
    <t>Affordability period, in years, as required by other state or federal funding sources</t>
  </si>
  <si>
    <t>Certification of Compliance with All NHTF Requirements (must be completed by ALL applicants)</t>
  </si>
  <si>
    <t>Sources of non-federal and non-OHFA funding included in D102:</t>
  </si>
  <si>
    <t xml:space="preserve">The applicant shall submit a brief narrative describing the management history, the systems (and components/subcomponents that make up those systems) that need replacing, and a detailed itemization of the use of the project’s replacement reserves. </t>
  </si>
  <si>
    <t xml:space="preserve">Development has been maintained through good management but contains no more than three Major Building Systems that are past their effective useful life, need immediate replacement, and will be replaced as part of the scope of work. Major Building Systems are defined in the Design and Architectural Standards.
</t>
  </si>
  <si>
    <t>PCNA page ref(s)- past EUL:</t>
  </si>
  <si>
    <t>PCNA page ref- needs immediate replacement</t>
  </si>
  <si>
    <t>Name of MBS needing replacement:</t>
  </si>
  <si>
    <t>The applicant shall submit a brief narrative describing the troubled asset and those steps that have or will be taken to put the asset back into productive use, and a copy of the sales or purchase agreement or other sufficient proof of adherence to the above requirements as determined at OHFA’s sole discretion. 
Additionally, a foreclosure (if applicable) must be evidenced by notification(s) from third party lender(s).</t>
  </si>
  <si>
    <t xml:space="preserve">Development needs the replacement of at least 50% of two Major Building Systems AND the hard construction dollars of rehabilitation per unit equals $38,000 or more. Major Building Systems are defined in the Design and Architectural Standards. 
Preserved Affordability projects proposing demolition of existing units and new construction replacement will receive 5 points if demonstrated that the structure being replaced is no longer viable. </t>
  </si>
  <si>
    <r>
      <rPr>
        <b/>
        <i/>
        <sz val="11"/>
        <color theme="1"/>
        <rFont val="Arial"/>
        <family val="2"/>
        <scheme val="minor"/>
      </rPr>
      <t xml:space="preserve">Required Supporting Documentation: </t>
    </r>
    <r>
      <rPr>
        <sz val="11"/>
        <color theme="1"/>
        <rFont val="Arial"/>
        <family val="2"/>
        <scheme val="minor"/>
      </rPr>
      <t>For each Major Building System that needs replacement, the applicant must use the table below to identify the specific page numbers of the PCNA that clearly state the system (or the components making up at least 50% of the system) as being both past its effective useful life AND needing immediate replacement. The applicant must also identify the specific page numbers of the scope of work that addresses replacement of these systems and/or components.</t>
    </r>
    <r>
      <rPr>
        <b/>
        <sz val="11"/>
        <color theme="1"/>
        <rFont val="Arial"/>
        <family val="2"/>
        <scheme val="minor"/>
      </rPr>
      <t xml:space="preserve">
</t>
    </r>
    <r>
      <rPr>
        <sz val="11"/>
        <color theme="1"/>
        <rFont val="Arial"/>
        <family val="2"/>
        <scheme val="minor"/>
      </rPr>
      <t>OHFA will confirm eligibility through the AHFA (Hard Construction-Residential Rehab. line item), site visit, scope of work, and/or PCNA. OHFA reserves the right to deny points or change point allocation based on assessment.</t>
    </r>
  </si>
  <si>
    <t>Analyst Notes: Required Environmental Provisions</t>
  </si>
  <si>
    <t>Tenants</t>
  </si>
  <si>
    <t xml:space="preserve">BOND GAP FINANCING </t>
  </si>
  <si>
    <t>Bond Gap Financing Submission Requirements</t>
  </si>
  <si>
    <t>Articles of Incorporation (nonprofits only)</t>
  </si>
  <si>
    <t>Audited Financial Statements (existing projects only)</t>
  </si>
  <si>
    <t>Board Resolution (nonprofits only)</t>
  </si>
  <si>
    <t>Competitive Support Documents</t>
  </si>
  <si>
    <t>Public Notification (new units only)</t>
  </si>
  <si>
    <t>• All submissions must include the respective application fee payable by check, money order, or ACH to the Ohio Housing Finance Agency. Project name must be included on
the memorandum line of the check. If paying via ACH, applicant must contact OHFA for ACH instructions.</t>
  </si>
  <si>
    <r>
      <t xml:space="preserve">Mgr Unit </t>
    </r>
    <r>
      <rPr>
        <i/>
        <sz val="11"/>
        <color theme="1"/>
        <rFont val="Arial"/>
        <family val="2"/>
        <scheme val="minor"/>
      </rPr>
      <t>(common space)</t>
    </r>
  </si>
  <si>
    <t>20% AMGI</t>
  </si>
  <si>
    <t>40% AMGI</t>
  </si>
  <si>
    <t>70% AMGI</t>
  </si>
  <si>
    <t>80% AMGI</t>
  </si>
  <si>
    <t>TBD</t>
  </si>
  <si>
    <r>
      <rPr>
        <b/>
        <i/>
        <sz val="11"/>
        <color theme="1"/>
        <rFont val="Arial"/>
        <family val="2"/>
        <scheme val="minor"/>
      </rPr>
      <t xml:space="preserve">Required Supporting Documentation: 
</t>
    </r>
    <r>
      <rPr>
        <sz val="11"/>
        <color theme="1"/>
        <rFont val="Arial"/>
        <family val="2"/>
        <scheme val="minor"/>
      </rPr>
      <t>• Documentation for any leverage sources being provided and claimed for points must meet the Conditional Financial Commitments requirements outlined in the 2021 QAP (pages 11-12). 
• Sources must be clearly reflected in the Budget and Costs and Cashflow tabs of the AHFA. All percentages will be rounded to the nearest whole number.</t>
    </r>
  </si>
  <si>
    <t>Development budget reflects a leverage percentage, as verified by OHFA, which falls into one of the point categories stated in the guidelines. OHFA will compare the verified leverage percentage of each application to the highest verified leverage percentage for the pool. 
For the purposes of this scoring item, and in accordance with the requirement of the National Housing Trust Fund, leverage percentage refers to the total financing coming from non-federal  and non-OHFA sources. See BGF Guidelines for ful list of funding source eligible and ineligible for points in this category.</t>
  </si>
  <si>
    <r>
      <rPr>
        <b/>
        <i/>
        <sz val="11"/>
        <color theme="1"/>
        <rFont val="Arial"/>
        <family val="2"/>
        <scheme val="minor"/>
      </rPr>
      <t>Required Supporting Documentation:</t>
    </r>
    <r>
      <rPr>
        <b/>
        <sz val="11"/>
        <color theme="1"/>
        <rFont val="Arial"/>
        <family val="2"/>
        <scheme val="minor"/>
      </rPr>
      <t xml:space="preserve"> </t>
    </r>
    <r>
      <rPr>
        <sz val="11"/>
        <color theme="1"/>
        <rFont val="Arial"/>
        <family val="2"/>
        <scheme val="minor"/>
      </rPr>
      <t>None, OHFA will confirm eligibility by the AHFA. Percentages will be rounded to the nearest whole number.</t>
    </r>
  </si>
  <si>
    <r>
      <rPr>
        <b/>
        <i/>
        <sz val="11"/>
        <color theme="1"/>
        <rFont val="Arial"/>
        <family val="2"/>
        <scheme val="minor"/>
      </rPr>
      <t>Required Supporting Documentation:</t>
    </r>
    <r>
      <rPr>
        <b/>
        <sz val="11"/>
        <color theme="1"/>
        <rFont val="Arial"/>
        <family val="2"/>
        <scheme val="minor"/>
      </rPr>
      <t xml:space="preserve"> </t>
    </r>
    <r>
      <rPr>
        <sz val="11"/>
        <color theme="1"/>
        <rFont val="Arial"/>
        <family val="2"/>
        <scheme val="minor"/>
      </rPr>
      <t>Eligibility will be identified in the AHFA based on the project address.</t>
    </r>
    <r>
      <rPr>
        <b/>
        <sz val="11"/>
        <color theme="1"/>
        <rFont val="Arial"/>
        <family val="2"/>
        <scheme val="minor"/>
      </rPr>
      <t xml:space="preserve"> </t>
    </r>
    <r>
      <rPr>
        <sz val="11"/>
        <color theme="1"/>
        <rFont val="Arial"/>
        <family val="2"/>
        <scheme val="minor"/>
      </rPr>
      <t>If seeking points for Revitalization Plan, the applicant must submit a copy of the current revitalization plan and proof that the development is sited within its boundaries.</t>
    </r>
  </si>
  <si>
    <t xml:space="preserve">If yes, select one: </t>
  </si>
  <si>
    <r>
      <rPr>
        <b/>
        <i/>
        <sz val="11"/>
        <color theme="1"/>
        <rFont val="Arial"/>
        <family val="2"/>
        <scheme val="minor"/>
      </rPr>
      <t>Required Supporting Documentation:</t>
    </r>
    <r>
      <rPr>
        <b/>
        <sz val="11"/>
        <color theme="1"/>
        <rFont val="Arial"/>
        <family val="2"/>
        <scheme val="minor"/>
      </rPr>
      <t xml:space="preserve"> </t>
    </r>
    <r>
      <rPr>
        <sz val="11"/>
        <color theme="1"/>
        <rFont val="Arial"/>
        <family val="2"/>
        <scheme val="minor"/>
      </rPr>
      <t>Proof of the subsidy (consistent with the Document Submission Requirements for Rental Subsidy Contract as stated in the 2021 QAP, pages 20-21) must be included with the application and reflected in the AHFA. Percentages will be rounded to the nearest whole number.</t>
    </r>
  </si>
  <si>
    <r>
      <t xml:space="preserve">For each system that needs replacement, the applicant must use the table below to identify the specific page numbers of the PCNA that clearly state the system as being </t>
    </r>
    <r>
      <rPr>
        <b/>
        <sz val="11"/>
        <color theme="1"/>
        <rFont val="Arial"/>
        <family val="2"/>
        <scheme val="minor"/>
      </rPr>
      <t>both past its effective useful life and needing immediate replacement</t>
    </r>
    <r>
      <rPr>
        <sz val="11"/>
        <color theme="1"/>
        <rFont val="Arial"/>
        <family val="2"/>
        <scheme val="minor"/>
      </rPr>
      <t>. The applicant must also identify the specific page numbers of the scope of work that addresses replacement of these systems and/or components.</t>
    </r>
  </si>
  <si>
    <t>Base points (rehab)</t>
  </si>
  <si>
    <t>Base points (new construction)</t>
  </si>
  <si>
    <t xml:space="preserve">Eligible for 2 additional points? </t>
  </si>
  <si>
    <t xml:space="preserve">Full-time employee units only per IRS Revenue Ruling 92-61 (common space). </t>
  </si>
  <si>
    <t>HTC Units - Rent Limits</t>
  </si>
  <si>
    <t>HTC Units - Income Limits</t>
  </si>
  <si>
    <t xml:space="preserve">Project commits to one of the below percentages of units affordable to and occupied by households at or below 30% AMI (as % of affordable units). This includes units with project-based rental assistance or other rental subsidy that result in the unit meeting this rent and income restriction. </t>
  </si>
  <si>
    <t>Aff 3+ BR &lt;= 60%</t>
  </si>
  <si>
    <t>% All Res Units Affordable to ELI</t>
  </si>
  <si>
    <t xml:space="preserve">HTC Units affordable to households at or below 30% AMI </t>
  </si>
  <si>
    <t xml:space="preserve">HTC Units affordable to households at or below 50% AMI </t>
  </si>
  <si>
    <t xml:space="preserve">HTC Units affordable to households at or below 60% AMI </t>
  </si>
  <si>
    <t xml:space="preserve">HTC Units affordable to households at or below 80% AMI </t>
  </si>
  <si>
    <t>HTC Units occupied by households with incomes at or below 30% AMI</t>
  </si>
  <si>
    <t>HTC Units occupied by households with incomes at or below 50% AMI</t>
  </si>
  <si>
    <t>HTC Units occupied by households with incomes at or below 60% AMI</t>
  </si>
  <si>
    <t>HTC Units occupied by households with incomes at or below 80% AMI</t>
  </si>
  <si>
    <t>only applicable if selecting Average Income</t>
  </si>
  <si>
    <t>Affordable to 20% AMI</t>
  </si>
  <si>
    <t>Affordable to 30% AMI</t>
  </si>
  <si>
    <t>Affordable to 40% AMI</t>
  </si>
  <si>
    <t>Affordable to 50% AMI</t>
  </si>
  <si>
    <t>Affordable to 60% AMI</t>
  </si>
  <si>
    <t>Affordable to 70% AMI</t>
  </si>
  <si>
    <t>Affordable to 80% AMI</t>
  </si>
  <si>
    <t>only applicable if using Average Income</t>
  </si>
  <si>
    <t>PROJECT DOES NOT MEET MINIMUM UNIT REQUIREMENT</t>
  </si>
  <si>
    <t>ERROR Exceeds Credits Allowable</t>
  </si>
  <si>
    <t>Development budget reflects a leverage percentage, as verified by OHFA, which falls into one of the point categories stated in the guidelines. OHFA will compare the verified leverage percentage of each application to the highest verified leverage percentage for the pool. 
For the purposes of this scoring item, and in accordance with the requirement of the National Housing Trust Fund, leverage percentage refers to the total financing coming from non-federal and non-OHFA sources. See BGF Guidelines for ful list of funding source eligible and ineligible for points in this category.</t>
  </si>
  <si>
    <t>2021 LIHTC Rent Limits for 50% AMGI Rents - effective April 1, 2021</t>
  </si>
  <si>
    <t>Note A Loan Schedule</t>
  </si>
  <si>
    <t>Risk-Share Annual Mortgage Insurance Premium</t>
  </si>
  <si>
    <t>Loan Amount</t>
  </si>
  <si>
    <t>Payment Amount</t>
  </si>
  <si>
    <t>Stated APR</t>
  </si>
  <si>
    <t>Payments Per Year</t>
  </si>
  <si>
    <t>Balloon Payment</t>
  </si>
  <si>
    <t>Total Interest Paid</t>
  </si>
  <si>
    <t>Amortization</t>
  </si>
  <si>
    <t>Closing Date</t>
  </si>
  <si>
    <t>First Payment Date</t>
  </si>
  <si>
    <t>Payment #</t>
  </si>
  <si>
    <t>Payment Date</t>
  </si>
  <si>
    <t>EOP Balance</t>
  </si>
  <si>
    <t>Principal</t>
  </si>
  <si>
    <t>Interest</t>
  </si>
  <si>
    <t>Payment</t>
  </si>
  <si>
    <t>Beginning</t>
  </si>
  <si>
    <t>MIP</t>
  </si>
  <si>
    <t>Note A</t>
  </si>
  <si>
    <t>Note B</t>
  </si>
  <si>
    <t>Year 1</t>
  </si>
  <si>
    <t>Year 2</t>
  </si>
  <si>
    <t>Year 3</t>
  </si>
  <si>
    <t>Year 4</t>
  </si>
  <si>
    <t>Year 5</t>
  </si>
  <si>
    <t>Year 6</t>
  </si>
  <si>
    <t>Year 7</t>
  </si>
  <si>
    <t>Year 8</t>
  </si>
  <si>
    <t>Year 9</t>
  </si>
  <si>
    <t>Year 10</t>
  </si>
  <si>
    <t>Year 11</t>
  </si>
  <si>
    <t>Year 12</t>
  </si>
  <si>
    <t>Year 13</t>
  </si>
  <si>
    <t>Year 14</t>
  </si>
  <si>
    <t>Year 15</t>
  </si>
  <si>
    <t>Year 16</t>
  </si>
  <si>
    <t>Year 17</t>
  </si>
  <si>
    <t>Legal Description (.docx format)</t>
  </si>
  <si>
    <t>Geographic Area</t>
  </si>
  <si>
    <t xml:space="preserve">Rural </t>
  </si>
  <si>
    <t>Decline</t>
  </si>
  <si>
    <t>Growth</t>
  </si>
  <si>
    <t>No Data</t>
  </si>
  <si>
    <t>Preserved Affordability</t>
  </si>
  <si>
    <t>Housing Policy Pool</t>
  </si>
  <si>
    <t>Rehabilitation Hard Costs</t>
  </si>
  <si>
    <t>MBE/WBE Ownership in GP</t>
  </si>
  <si>
    <t>Non-R/ECAP</t>
  </si>
  <si>
    <t>Revitalization Area</t>
  </si>
  <si>
    <t>Appalachian County</t>
  </si>
  <si>
    <t>RAD Conversion</t>
  </si>
  <si>
    <t>USDA Subsidy Preservation</t>
  </si>
  <si>
    <t>Balance of State/Small CoC</t>
  </si>
  <si>
    <t>New Affordability- Central City</t>
  </si>
  <si>
    <t>New Affordability-Metro/Suburban</t>
  </si>
  <si>
    <t>New Affordability- Rural</t>
  </si>
  <si>
    <t>PLEASE REFER TO PAGES 17-18 OF THE QAP FOR RENTAL SUBSIDY CONTRACT REQUIREMENTS FOR SUBMISSION.</t>
  </si>
  <si>
    <t>The proposed development is located in the Central City</t>
  </si>
  <si>
    <t>The units are new construction or renovation of existing structures that are not previously rent/income restricted OR currently occupied</t>
  </si>
  <si>
    <t>Percent Occupied?</t>
  </si>
  <si>
    <t>Currently or Previously Rent Restricted?</t>
  </si>
  <si>
    <t>in the past?</t>
  </si>
  <si>
    <t>Has the project been rent/income restricted</t>
  </si>
  <si>
    <t>Applicant shall submit brief information about the partner including their history of providing housing in the target area. The AHFA must confirm 25% GP interest in the ownership.</t>
  </si>
  <si>
    <t>MBE/WBE?</t>
  </si>
  <si>
    <t>Developer can demonstrate GP interest in at least five Ohio HTC properities placed in service in the last 10 years.</t>
  </si>
  <si>
    <t>Any outstanding 8823s?</t>
  </si>
  <si>
    <t>Ohio Properties w/GP Interest</t>
  </si>
  <si>
    <t>MR 110% of HTC Rent Confirmed by Market Study</t>
  </si>
  <si>
    <t>a. Local Nonprofit Partner</t>
  </si>
  <si>
    <t>b. Housing Authority Partner</t>
  </si>
  <si>
    <t>c. CHDO Partner</t>
  </si>
  <si>
    <t>d. In-State Experience</t>
  </si>
  <si>
    <t>1. Local Partner or In-State Experience</t>
  </si>
  <si>
    <t>2. Resident Amenities</t>
  </si>
  <si>
    <t>a. Exercise and Wellness</t>
  </si>
  <si>
    <t>b. Design Features</t>
  </si>
  <si>
    <t>3. Income Diversity</t>
  </si>
  <si>
    <t>a. ELI Targeting</t>
  </si>
  <si>
    <t>b. Project-Based Rental Subsidy</t>
  </si>
  <si>
    <t>c. Market Integration</t>
  </si>
  <si>
    <t>a. Percent of VLI Households</t>
  </si>
  <si>
    <t>b. Underserved Counties</t>
  </si>
  <si>
    <t xml:space="preserve">County </t>
  </si>
  <si>
    <t>LIHTC Per Capita</t>
  </si>
  <si>
    <t>Underserved Counties</t>
  </si>
  <si>
    <t>Greater than 2</t>
  </si>
  <si>
    <t>Greater than 1.5 Less than 2</t>
  </si>
  <si>
    <t>Greater than 1 Less than 1.5</t>
  </si>
  <si>
    <t>Greater than 0 less than 1</t>
  </si>
  <si>
    <t>Zero</t>
  </si>
  <si>
    <t>VLI</t>
  </si>
  <si>
    <t>UC</t>
  </si>
  <si>
    <t>CPAU</t>
  </si>
  <si>
    <t>Funding must meet the requirements and be submitted as described in the Conditional Financial Commitments section at time of application. Leveraged resources must also be reflected in the Budget and Costs and Cashflow tabs of the AHFA. All dollar amounts will be rounded to the nearest whole number. Additionally, the application must include a contingency plan to demonstrate how the project will proceed and maintain points awarded in the event any competitive funding is not received.</t>
  </si>
  <si>
    <t>HOME from a PJ</t>
  </si>
  <si>
    <t>CDBG from a PJ</t>
  </si>
  <si>
    <t>FHLB AHP</t>
  </si>
  <si>
    <t>Local Government Housing Program</t>
  </si>
  <si>
    <t>PHA Resources</t>
  </si>
  <si>
    <t>CDFI- Capital Magnet Fund</t>
  </si>
  <si>
    <t>CDFI- NMTC</t>
  </si>
  <si>
    <t xml:space="preserve">CDFI </t>
  </si>
  <si>
    <t>Philanthropic Donation</t>
  </si>
  <si>
    <t>Historic Tax Credits</t>
  </si>
  <si>
    <t>Leverage Dollars/Unit</t>
  </si>
  <si>
    <t>Lev</t>
  </si>
  <si>
    <t>a. Transit</t>
  </si>
  <si>
    <t>b. Number of Bedrooms</t>
  </si>
  <si>
    <t>Pharmacy</t>
  </si>
  <si>
    <t>Medical Clinic</t>
  </si>
  <si>
    <t>Public Elementary, Middle, or High School</t>
  </si>
  <si>
    <t>c. Proximity to Amenities</t>
  </si>
  <si>
    <t>e. Low Poverty Area</t>
  </si>
  <si>
    <t>4. Housing Need</t>
  </si>
  <si>
    <t>5. Credits Per Affordable Unit</t>
  </si>
  <si>
    <t>6. Leverage</t>
  </si>
  <si>
    <t>7. New Affordability Priorities</t>
  </si>
  <si>
    <t>f. Job Access</t>
  </si>
  <si>
    <t>AND</t>
  </si>
  <si>
    <r>
      <rPr>
        <i/>
        <sz val="11"/>
        <color theme="1"/>
        <rFont val="Arial"/>
        <family val="2"/>
        <scheme val="minor"/>
      </rPr>
      <t xml:space="preserve">Community Development Investment: </t>
    </r>
    <r>
      <rPr>
        <sz val="11"/>
        <color theme="1"/>
        <rFont val="Arial"/>
        <family val="2"/>
        <scheme val="minor"/>
      </rPr>
      <t xml:space="preserve">
i. Third-party supporting documentation that details and confirms the specific investment being claimed, including but not limited to type, total dollar amount, construction start and completion dates, and distance from proposed development. Documentation may include but is not limited to, a letter from the local city, township, or village itemizing development in the target area, newspaper articles, or other appropriate documentations; and
ii. A map showing the location of the proposed development and each of the investments referenced in the third-party documentation.</t>
    </r>
  </si>
  <si>
    <t>g. Neighborhood Revitalization (FAMILY ONLY)</t>
  </si>
  <si>
    <r>
      <rPr>
        <i/>
        <sz val="11"/>
        <color theme="1"/>
        <rFont val="Arial"/>
        <family val="2"/>
        <scheme val="minor"/>
      </rPr>
      <t>Revitalization Plan:</t>
    </r>
    <r>
      <rPr>
        <sz val="11"/>
        <color theme="1"/>
        <rFont val="Arial"/>
        <family val="2"/>
        <scheme val="minor"/>
      </rPr>
      <t xml:space="preserve"> Applicants shall submit a copy of the Revitalization Plan and proof that the development is sited within its boundaries. The plan must meet the requirements outlined in the QAP.</t>
    </r>
  </si>
  <si>
    <t>Opp</t>
  </si>
  <si>
    <t>h. Opportunity Area (FAMILY ONLY)</t>
  </si>
  <si>
    <t xml:space="preserve">Screenshot of the QAP Interactive Map (with applicable Opportunity Area layer checked) demonstrating that the development is sited within an eligible census tract to earn points for this criterion. </t>
  </si>
  <si>
    <t>j. Senior Center (SENIOR ONLY)</t>
  </si>
  <si>
    <t>Analyst Score &amp; Notes: Local Partner/In-State Experience</t>
  </si>
  <si>
    <t>Analyst Score &amp; Notes: Credits per Affordable Unit</t>
  </si>
  <si>
    <t>Analyst Score &amp; Notes: Leverage</t>
  </si>
  <si>
    <t>Analyst Score &amp; Notes: New Affordability Priorities</t>
  </si>
  <si>
    <t>Senior Cntr</t>
  </si>
  <si>
    <t>i. CORES or Experienced Service Coordinator</t>
  </si>
  <si>
    <t>i. Demonstrates The General Partner will obtain CORES certification prior to placing the first building in service or provide an MOU with a CORES certified entity for the duration of the compliance period.</t>
  </si>
  <si>
    <t>ii. Applicants must evidence this requirement in the Supportive Services Plan due at proposal, identifying partnerships with qualified service coordination agencies, and detailing the specific services to be provided, and reflect at least 15 min of on-site services per unit per week for the compliance period, the service coordinator must have a demonstrated history of serving the target area.</t>
  </si>
  <si>
    <t>CORES Certified Entity</t>
  </si>
  <si>
    <t>LIST CORES CERTIFIED ENTITY HERE</t>
  </si>
  <si>
    <t>Experienced Coordinator?</t>
  </si>
  <si>
    <t>Name of local service Coordinator</t>
  </si>
  <si>
    <t>Serv</t>
  </si>
  <si>
    <t>Maximum Points = 35</t>
  </si>
  <si>
    <t>#1 Census Tract w/Fewest HTC Awards</t>
  </si>
  <si>
    <t>Awards</t>
  </si>
  <si>
    <t>#2 Opportunity Index Rating</t>
  </si>
  <si>
    <t>The proposed development is located in the Metro/Suburban Geographic Area</t>
  </si>
  <si>
    <t>The proposed development is located in the Rural Geographic Area</t>
  </si>
  <si>
    <t>The majority of units preserves existing affordability by maintaining project-based subsidies or HTC projects placed in service more than 25 years ago</t>
  </si>
  <si>
    <t>Placed in Service Date?</t>
  </si>
  <si>
    <t>1. Development Characteristics</t>
  </si>
  <si>
    <t>Eligibility will be determined through the AHFA (specifically, the “Hard Construction (Residential Rehab.)” line item in the Budget &amp; Costs tab).</t>
  </si>
  <si>
    <t>a. Rehab Scope</t>
  </si>
  <si>
    <t>b. Exercise and Wellness</t>
  </si>
  <si>
    <t>2. Preservation Priorities</t>
  </si>
  <si>
    <t>End of PB Subsidy Contract</t>
  </si>
  <si>
    <t>3. Experienced Ownership</t>
  </si>
  <si>
    <t>Exp</t>
  </si>
  <si>
    <t>4. Subsidy Preservation</t>
  </si>
  <si>
    <t>a. Preserved Units</t>
  </si>
  <si>
    <t>b. Maturing Mortgage</t>
  </si>
  <si>
    <t>c. Year 30</t>
  </si>
  <si>
    <t>Placed in Service Date</t>
  </si>
  <si>
    <t>Market Study confirms rent advantage</t>
  </si>
  <si>
    <t>Y30</t>
  </si>
  <si>
    <t>Mat Mor</t>
  </si>
  <si>
    <t>GP Meets Requirements:</t>
  </si>
  <si>
    <t>Property Manager Meets Requirement</t>
  </si>
  <si>
    <t xml:space="preserve">#2 Percent of project based rental subsidy </t>
  </si>
  <si>
    <t>Service Enriched Housing</t>
  </si>
  <si>
    <t>Developments must demonstrate support from the applicable Continuum of Care (CoC) through either a primary or secondary priority letter accompanying the proposal application
or, only if specifically permitted by the set-aside criteria, a general support letter. A letter from a public entity suppporting or recommending the project may be substituted.</t>
  </si>
  <si>
    <r>
      <t xml:space="preserve">Select and provide details for </t>
    </r>
    <r>
      <rPr>
        <b/>
        <sz val="11"/>
        <color theme="1"/>
        <rFont val="Arial"/>
        <family val="2"/>
        <scheme val="minor"/>
      </rPr>
      <t>at least two</t>
    </r>
    <r>
      <rPr>
        <sz val="11"/>
        <color theme="1"/>
        <rFont val="Arial"/>
        <family val="2"/>
        <scheme val="minor"/>
      </rPr>
      <t xml:space="preserve"> of the below services that will be delivered at the development. </t>
    </r>
  </si>
  <si>
    <t>For CoC/Referral Partnership, provide a contractual agreement or Memorandum of Understanding outlining the specific services, methods of delivery, and terms of the partnership(s). Or provid a referral partnership with the local ADAMH Board to refer the target population.
For Medicaid Partnership, submit evidence of the partnership and also brief information about the partner including their services relevant to the resident population, where they are based, and their experience working in the local community.</t>
  </si>
  <si>
    <t>Name of COC/ADAMH Partner</t>
  </si>
  <si>
    <t>2. Local Partners</t>
  </si>
  <si>
    <t>3. Expert Recommendations</t>
  </si>
  <si>
    <t>Other Entity Recommendation</t>
  </si>
  <si>
    <t>ENTER NAME OF ENTITY</t>
  </si>
  <si>
    <t>4. Neighborhood Development &amp; Impact Initiative</t>
  </si>
  <si>
    <t>a. Transportation</t>
  </si>
  <si>
    <t>b. Proximity to Amenities</t>
  </si>
  <si>
    <t>ESC</t>
  </si>
  <si>
    <t>1. Experienced Service Coordinator</t>
  </si>
  <si>
    <r>
      <t xml:space="preserve">• Applicants must complete all applicable information in the table below, including all low-income and market-rate units. 
• Mgr Units identified in row 45 are full-time employee units only, as defined in IRS Revenue Ruling 92-61. Any others must be identified as either market or low-income.
• For Tenant-Paid Rent, HDAP applicants must apply the HUD Low HOME Rent to HDAP restricted units. HOME Rent Limits can be found here: https://ohiohome.org/compliance/limits.aspx. 
• Market rate units may be identified as Affordable to and Occupied by 100% AMGI, unless otherwise projected. 
• Developments utilizing Average Income must have rents sent in 10% increments between 20% and 80%
</t>
    </r>
    <r>
      <rPr>
        <b/>
        <u/>
        <sz val="11"/>
        <color theme="3"/>
        <rFont val="Arial"/>
        <family val="2"/>
        <scheme val="minor"/>
      </rPr>
      <t xml:space="preserve">For market rate and Manager Unit(s) units, only enter data into the pre-coded cells near the bottom of the chart. </t>
    </r>
  </si>
  <si>
    <r>
      <t xml:space="preserve">Ownership Entity </t>
    </r>
    <r>
      <rPr>
        <b/>
        <i/>
        <sz val="14"/>
        <color theme="5"/>
        <rFont val="Century Gothic"/>
        <family val="2"/>
      </rPr>
      <t>(Limited Partnership/LLC)</t>
    </r>
  </si>
  <si>
    <t>See HDL Guidelines for Maximum Loan amount</t>
  </si>
  <si>
    <t>2022 QCT</t>
  </si>
  <si>
    <t>2023 Qualified Allocation Plan Technical Amendment</t>
  </si>
  <si>
    <t>Multifamily Underwriting Guidelines</t>
  </si>
  <si>
    <t>Design &amp; Architectural Standards</t>
  </si>
  <si>
    <t xml:space="preserve">Details and applicability for all document submission requirements can be found in the QAP, FAQ, and other guidelines published by OHFA. </t>
  </si>
  <si>
    <t>• Unless otherwise communicated by OHFA in advance of the application deadline, all application materials must be submitted via OHFA's FTP site. Architectural Plans should be submitted via mail/delivery and be printed on 11"x17" paper</t>
  </si>
  <si>
    <t xml:space="preserve">• For security purposes, OHFA cannot accept submissions via an outside file transfer protocol, Google Drive, DropBox, etc.. </t>
  </si>
  <si>
    <t>2022 Census Tract for Scoring</t>
  </si>
  <si>
    <t>2023 Tract Name</t>
  </si>
  <si>
    <r>
      <t xml:space="preserve">Set Aside </t>
    </r>
    <r>
      <rPr>
        <b/>
        <sz val="11"/>
        <color theme="1"/>
        <rFont val="Arial"/>
        <family val="2"/>
        <scheme val="minor"/>
      </rPr>
      <t>(Select ONE)</t>
    </r>
  </si>
  <si>
    <t>Boost for Rural or Preserved Pools</t>
  </si>
  <si>
    <t>Boost for MBE/WBE</t>
  </si>
  <si>
    <t>30% of Hard Costs</t>
  </si>
  <si>
    <t>2023 QCT</t>
  </si>
  <si>
    <t>NO</t>
  </si>
  <si>
    <t>Census Tract 7703.01, Adams County, Ohio</t>
  </si>
  <si>
    <t>Census Tract 7703.02, Adams County, Ohio</t>
  </si>
  <si>
    <t>Census Tract 108.01, Allen County, Ohio</t>
  </si>
  <si>
    <t>Census Tract 108.02, Allen County, Ohio</t>
  </si>
  <si>
    <t>Census Tract 113.01, Allen County, Ohio</t>
  </si>
  <si>
    <t>Census Tract 113.02, Allen County, Ohio</t>
  </si>
  <si>
    <t>Census Tract 9701.01, Ashland County, Ohio</t>
  </si>
  <si>
    <t>Census Tract 9701.02, Ashland County, Ohio</t>
  </si>
  <si>
    <t>Census Tract 12.01, Ashtabula County, Ohio</t>
  </si>
  <si>
    <t>Census Tract 12.02, Ashtabula County, Ohio</t>
  </si>
  <si>
    <t>Census Tract 13.03, Ashtabula County, Ohio</t>
  </si>
  <si>
    <t>Census Tract 13.04, Ashtabula County, Ohio</t>
  </si>
  <si>
    <t>Census Tract 14.01, Ashtabula County, Ohio</t>
  </si>
  <si>
    <t>Census Tract 14.02, Ashtabula County, Ohio</t>
  </si>
  <si>
    <t>Census Tract 9900, Ashtabula County, Ohio</t>
  </si>
  <si>
    <t>Census Tract 109.01, Belmont County, Ohio</t>
  </si>
  <si>
    <t>Census Tract 109.02, Belmont County, Ohio</t>
  </si>
  <si>
    <t>Census Tract 122.01, Belmont County, Ohio</t>
  </si>
  <si>
    <t>Census Tract 122.02, Belmont County, Ohio</t>
  </si>
  <si>
    <t>Census Tract 9513.01, Brown County, Ohio</t>
  </si>
  <si>
    <t>Census Tract 9513.02, Brown County, Ohio</t>
  </si>
  <si>
    <t>Census Tract 101.05, Butler County, Ohio</t>
  </si>
  <si>
    <t>Census Tract 101.06, Butler County, Ohio</t>
  </si>
  <si>
    <t>Census Tract 109.12, Butler County, Ohio</t>
  </si>
  <si>
    <t>Census Tract 109.13, Butler County, Ohio</t>
  </si>
  <si>
    <t>Census Tract 110.05, Butler County, Ohio</t>
  </si>
  <si>
    <t>Census Tract 110.06, Butler County, Ohio</t>
  </si>
  <si>
    <t>Census Tract 111.32, Butler County, Ohio</t>
  </si>
  <si>
    <t>Census Tract 111.33, Butler County, Ohio</t>
  </si>
  <si>
    <t>Census Tract 111.34, Butler County, Ohio</t>
  </si>
  <si>
    <t>Census Tract 111.35, Butler County, Ohio</t>
  </si>
  <si>
    <t>Census Tract 111.36, Butler County, Ohio</t>
  </si>
  <si>
    <t>Census Tract 111.37, Butler County, Ohio</t>
  </si>
  <si>
    <t>Census Tract 26.07, Clark County, Ohio</t>
  </si>
  <si>
    <t>Census Tract 26.08, Clark County, Ohio</t>
  </si>
  <si>
    <t>Census Tract 402.05, Clermont County, Ohio</t>
  </si>
  <si>
    <t>Census Tract 402.06, Clermont County, Ohio</t>
  </si>
  <si>
    <t>Census Tract 407.03, Clermont County, Ohio</t>
  </si>
  <si>
    <t>Census Tract 407.04, Clermont County, Ohio</t>
  </si>
  <si>
    <t>Census Tract 410.01, Clermont County, Ohio</t>
  </si>
  <si>
    <t>Census Tract 410.02, Clermont County, Ohio</t>
  </si>
  <si>
    <t>Census Tract 411.04, Clermont County, Ohio</t>
  </si>
  <si>
    <t>Census Tract 411.05, Clermont County, Ohio</t>
  </si>
  <si>
    <t>Census Tract 412.01, Clermont County, Ohio</t>
  </si>
  <si>
    <t>Census Tract 412.02, Clermont County, Ohio</t>
  </si>
  <si>
    <t>Census Tract 415.03, Clermont County, Ohio</t>
  </si>
  <si>
    <t>Census Tract 415.04, Clermont County, Ohio</t>
  </si>
  <si>
    <t>Census Tract 415.05, Clermont County, Ohio</t>
  </si>
  <si>
    <t>Census Tract 415.06, Clermont County, Ohio</t>
  </si>
  <si>
    <t>Census Tract 420.01, Clermont County, Ohio</t>
  </si>
  <si>
    <t>Census Tract 420.02, Clermont County, Ohio</t>
  </si>
  <si>
    <t>Census Tract 9645.01, Clinton County, Ohio</t>
  </si>
  <si>
    <t>Census Tract 9645.02, Clinton County, Ohio</t>
  </si>
  <si>
    <t>Census Tract 9514.01, Columbiana County, Ohio</t>
  </si>
  <si>
    <t>Census Tract 9514.02, Columbiana County, Ohio</t>
  </si>
  <si>
    <t>Census Tract 1012.01, Cuyahoga County, Ohio</t>
  </si>
  <si>
    <t>Census Tract 1148, Cuyahoga County, Ohio</t>
  </si>
  <si>
    <t>Census Tract 1172.03, Cuyahoga County, Ohio</t>
  </si>
  <si>
    <t>Census Tract 1311.05, Cuyahoga County, Ohio</t>
  </si>
  <si>
    <t>Census Tract 1361.04, Cuyahoga County, Ohio</t>
  </si>
  <si>
    <t>Census Tract 1361.05, Cuyahoga County, Ohio</t>
  </si>
  <si>
    <t>Census Tract 1526.05, Cuyahoga County, Ohio</t>
  </si>
  <si>
    <t>Census Tract 1606.03, Cuyahoga County, Ohio</t>
  </si>
  <si>
    <t>Census Tract 1606.04, Cuyahoga County, Ohio</t>
  </si>
  <si>
    <t>Census Tract 1619, Cuyahoga County, Ohio</t>
  </si>
  <si>
    <t>Census Tract 1721.04, Cuyahoga County, Ohio</t>
  </si>
  <si>
    <t>Census Tract 1721.05, Cuyahoga County, Ohio</t>
  </si>
  <si>
    <t>Census Tract 1751.07, Cuyahoga County, Ohio</t>
  </si>
  <si>
    <t>Census Tract 1751.08, Cuyahoga County, Ohio</t>
  </si>
  <si>
    <t>Census Tract 1751.09, Cuyahoga County, Ohio</t>
  </si>
  <si>
    <t>Census Tract 1751.10, Cuyahoga County, Ohio</t>
  </si>
  <si>
    <t>Census Tract 1905.05, Cuyahoga County, Ohio</t>
  </si>
  <si>
    <t>Census Tract 1905.06, Cuyahoga County, Ohio</t>
  </si>
  <si>
    <t>Census Tract 1968, Cuyahoga County, Ohio</t>
  </si>
  <si>
    <t>Census Tract 1970, Cuyahoga County, Ohio</t>
  </si>
  <si>
    <t>Census Tract 1971, Cuyahoga County, Ohio</t>
  </si>
  <si>
    <t>Census Tract 1972, Cuyahoga County, Ohio</t>
  </si>
  <si>
    <t>Census Tract 1973, Cuyahoga County, Ohio</t>
  </si>
  <si>
    <t>Census Tract 1974, Cuyahoga County, Ohio</t>
  </si>
  <si>
    <t>Census Tract 1975, Cuyahoga County, Ohio</t>
  </si>
  <si>
    <t>Census Tract 1976, Cuyahoga County, Ohio</t>
  </si>
  <si>
    <t>Census Tract 1977, Cuyahoga County, Ohio</t>
  </si>
  <si>
    <t>Census Tract 1978, Cuyahoga County, Ohio</t>
  </si>
  <si>
    <t>Census Tract 1979, Cuyahoga County, Ohio</t>
  </si>
  <si>
    <t>Census Tract 1980, Cuyahoga County, Ohio</t>
  </si>
  <si>
    <t>Census Tract 1981, Cuyahoga County, Ohio</t>
  </si>
  <si>
    <t>Census Tract 1982, Cuyahoga County, Ohio</t>
  </si>
  <si>
    <t>Census Tract 1983, Cuyahoga County, Ohio</t>
  </si>
  <si>
    <t>Census Tract 1984, Cuyahoga County, Ohio</t>
  </si>
  <si>
    <t>Census Tract 1985, Cuyahoga County, Ohio</t>
  </si>
  <si>
    <t>Census Tract 1986, Cuyahoga County, Ohio</t>
  </si>
  <si>
    <t>Census Tract 1987, Cuyahoga County, Ohio</t>
  </si>
  <si>
    <t>Census Tract 1988, Cuyahoga County, Ohio</t>
  </si>
  <si>
    <t>Census Tract 1989, Cuyahoga County, Ohio</t>
  </si>
  <si>
    <t>Census Tract 1990, Cuyahoga County, Ohio</t>
  </si>
  <si>
    <t>Census Tract 1991, Cuyahoga County, Ohio</t>
  </si>
  <si>
    <t>Census Tract 1992, Cuyahoga County, Ohio</t>
  </si>
  <si>
    <t>Census Tract 1993, Cuyahoga County, Ohio</t>
  </si>
  <si>
    <t>Census Tract 9802, Cuyahoga County, Ohio</t>
  </si>
  <si>
    <t>Census Tract 9809, Cuyahoga County, Ohio</t>
  </si>
  <si>
    <t>Census Tract 9810, Cuyahoga County, Ohio</t>
  </si>
  <si>
    <t>Census Tract 9900, Cuyahoga County, Ohio</t>
  </si>
  <si>
    <t>Census Tract 5550.01, Darke County, Ohio</t>
  </si>
  <si>
    <t>Census Tract 5550.02, Darke County, Ohio</t>
  </si>
  <si>
    <t>Census Tract 5601.01, Darke County, Ohio</t>
  </si>
  <si>
    <t>Census Tract 5601.02, Darke County, Ohio</t>
  </si>
  <si>
    <t>Census Tract 114.31, Delaware County, Ohio</t>
  </si>
  <si>
    <t>Census Tract 114.32, Delaware County, Ohio</t>
  </si>
  <si>
    <t>Census Tract 115.62, Delaware County, Ohio</t>
  </si>
  <si>
    <t>Census Tract 115.63, Delaware County, Ohio</t>
  </si>
  <si>
    <t>Census Tract 115.64, Delaware County, Ohio</t>
  </si>
  <si>
    <t>Census Tract 115.65, Delaware County, Ohio</t>
  </si>
  <si>
    <t>Census Tract 117.63, Delaware County, Ohio</t>
  </si>
  <si>
    <t>Census Tract 117.64, Delaware County, Ohio</t>
  </si>
  <si>
    <t>Census Tract 117.65, Delaware County, Ohio</t>
  </si>
  <si>
    <t>Census Tract 117.66, Delaware County, Ohio</t>
  </si>
  <si>
    <t>Census Tract 408.01, Erie County, Ohio</t>
  </si>
  <si>
    <t>Census Tract 408.02, Erie County, Ohio</t>
  </si>
  <si>
    <t>Census Tract 417.01, Erie County, Ohio</t>
  </si>
  <si>
    <t>Census Tract 417.02, Erie County, Ohio</t>
  </si>
  <si>
    <t>Census Tract 419, Erie County, Ohio</t>
  </si>
  <si>
    <t>Census Tract 9901, Erie County, Ohio</t>
  </si>
  <si>
    <t>Census Tract 306.01, Fairfield County, Ohio</t>
  </si>
  <si>
    <t>Census Tract 306.02, Fairfield County, Ohio</t>
  </si>
  <si>
    <t>Census Tract 309.01, Fairfield County, Ohio</t>
  </si>
  <si>
    <t>Census Tract 309.02, Fairfield County, Ohio</t>
  </si>
  <si>
    <t>Census Tract 314.01, Fairfield County, Ohio</t>
  </si>
  <si>
    <t>Census Tract 314.02, Fairfield County, Ohio</t>
  </si>
  <si>
    <t>Census Tract 325.01, Fairfield County, Ohio</t>
  </si>
  <si>
    <t>Census Tract 325.02, Fairfield County, Ohio</t>
  </si>
  <si>
    <t>Census Tract 326.01, Fairfield County, Ohio</t>
  </si>
  <si>
    <t>Census Tract 326.02, Fairfield County, Ohio</t>
  </si>
  <si>
    <t>Census Tract 327.03, Fairfield County, Ohio</t>
  </si>
  <si>
    <t>Census Tract 327.04, Fairfield County, Ohio</t>
  </si>
  <si>
    <t>Census Tract 329.01, Fairfield County, Ohio</t>
  </si>
  <si>
    <t>Census Tract 329.02, Fairfield County, Ohio</t>
  </si>
  <si>
    <t>Census Tract 331.01, Fairfield County, Ohio</t>
  </si>
  <si>
    <t>Census Tract 331.02, Fairfield County, Ohio</t>
  </si>
  <si>
    <t>Census Tract 13.01, Franklin County, Ohio</t>
  </si>
  <si>
    <t>Census Tract 13.02, Franklin County, Ohio</t>
  </si>
  <si>
    <t>Census Tract 40.01, Franklin County, Ohio</t>
  </si>
  <si>
    <t>Census Tract 40.02, Franklin County, Ohio</t>
  </si>
  <si>
    <t>Census Tract 43.01, Franklin County, Ohio</t>
  </si>
  <si>
    <t>Census Tract 43.02, Franklin County, Ohio</t>
  </si>
  <si>
    <t>Census Tract 50.01, Franklin County, Ohio</t>
  </si>
  <si>
    <t>Census Tract 50.02, Franklin County, Ohio</t>
  </si>
  <si>
    <t>Census Tract 62.37, Franklin County, Ohio</t>
  </si>
  <si>
    <t>Census Tract 62.38, Franklin County, Ohio</t>
  </si>
  <si>
    <t>Census Tract 62.39, Franklin County, Ohio</t>
  </si>
  <si>
    <t>Census Tract 62.40, Franklin County, Ohio</t>
  </si>
  <si>
    <t>Census Tract 62.41, Franklin County, Ohio</t>
  </si>
  <si>
    <t>Census Tract 63.01, Franklin County, Ohio</t>
  </si>
  <si>
    <t>Census Tract 63.02, Franklin County, Ohio</t>
  </si>
  <si>
    <t>Census Tract 63.97, Franklin County, Ohio</t>
  </si>
  <si>
    <t>Census Tract 63.98, Franklin County, Ohio</t>
  </si>
  <si>
    <t>Census Tract 69.91, Franklin County, Ohio</t>
  </si>
  <si>
    <t>Census Tract 69.92, Franklin County, Ohio</t>
  </si>
  <si>
    <t>Census Tract 71.01, Franklin County, Ohio</t>
  </si>
  <si>
    <t>Census Tract 71.02, Franklin County, Ohio</t>
  </si>
  <si>
    <t>Census Tract 71.03, Franklin County, Ohio</t>
  </si>
  <si>
    <t>Census Tract 72.11, Franklin County, Ohio</t>
  </si>
  <si>
    <t>Census Tract 72.12, Franklin County, Ohio</t>
  </si>
  <si>
    <t>Census Tract 72.13, Franklin County, Ohio</t>
  </si>
  <si>
    <t>Census Tract 72.14, Franklin County, Ohio</t>
  </si>
  <si>
    <t>Census Tract 72.15, Franklin County, Ohio</t>
  </si>
  <si>
    <t>Census Tract 73.01, Franklin County, Ohio</t>
  </si>
  <si>
    <t>Census Tract 73.02, Franklin County, Ohio</t>
  </si>
  <si>
    <t>Census Tract 73.03, Franklin County, Ohio</t>
  </si>
  <si>
    <t>Census Tract 73.05, Franklin County, Ohio</t>
  </si>
  <si>
    <t>Census Tract 73.06, Franklin County, Ohio</t>
  </si>
  <si>
    <t>Census Tract 73.97, Franklin County, Ohio</t>
  </si>
  <si>
    <t>Census Tract 73.98, Franklin County, Ohio</t>
  </si>
  <si>
    <t>Census Tract 75.52, Franklin County, Ohio</t>
  </si>
  <si>
    <t>Census Tract 75.53, Franklin County, Ohio</t>
  </si>
  <si>
    <t>Census Tract 79.55, Franklin County, Ohio</t>
  </si>
  <si>
    <t>Census Tract 79.56, Franklin County, Ohio</t>
  </si>
  <si>
    <t>Census Tract 79.57, Franklin County, Ohio</t>
  </si>
  <si>
    <t>Census Tract 79.58, Franklin County, Ohio</t>
  </si>
  <si>
    <t>Census Tract 79.59, Franklin County, Ohio</t>
  </si>
  <si>
    <t>Census Tract 79.60, Franklin County, Ohio</t>
  </si>
  <si>
    <t>Census Tract 79.61, Franklin County, Ohio</t>
  </si>
  <si>
    <t>Census Tract 79.62, Franklin County, Ohio</t>
  </si>
  <si>
    <t>Census Tract 79.63, Franklin County, Ohio</t>
  </si>
  <si>
    <t>Census Tract 79.64, Franklin County, Ohio</t>
  </si>
  <si>
    <t>Census Tract 79.65, Franklin County, Ohio</t>
  </si>
  <si>
    <t>Census Tract 79.66, Franklin County, Ohio</t>
  </si>
  <si>
    <t>Census Tract 80.01, Franklin County, Ohio</t>
  </si>
  <si>
    <t>Census Tract 80.02, Franklin County, Ohio</t>
  </si>
  <si>
    <t>Census Tract 81.65, Franklin County, Ohio</t>
  </si>
  <si>
    <t>Census Tract 81.66, Franklin County, Ohio</t>
  </si>
  <si>
    <t>Census Tract 81.67, Franklin County, Ohio</t>
  </si>
  <si>
    <t>Census Tract 81.68, Franklin County, Ohio</t>
  </si>
  <si>
    <t>Census Tract 81.69, Franklin County, Ohio</t>
  </si>
  <si>
    <t>Census Tract 81.70, Franklin County, Ohio</t>
  </si>
  <si>
    <t>Census Tract 81.71, Franklin County, Ohio</t>
  </si>
  <si>
    <t>Census Tract 81.72, Franklin County, Ohio</t>
  </si>
  <si>
    <t>Census Tract 83.81, Franklin County, Ohio</t>
  </si>
  <si>
    <t>Census Tract 83.82, Franklin County, Ohio</t>
  </si>
  <si>
    <t>Census Tract 92.51, Franklin County, Ohio</t>
  </si>
  <si>
    <t>Census Tract 92.52, Franklin County, Ohio</t>
  </si>
  <si>
    <t>Census Tract 93.91, Franklin County, Ohio</t>
  </si>
  <si>
    <t>Census Tract 93.92, Franklin County, Ohio</t>
  </si>
  <si>
    <t>Census Tract 93.93, Franklin County, Ohio</t>
  </si>
  <si>
    <t>Census Tract 93.94, Franklin County, Ohio</t>
  </si>
  <si>
    <t>Census Tract 93.95, Franklin County, Ohio</t>
  </si>
  <si>
    <t>Census Tract 93.96, Franklin County, Ohio</t>
  </si>
  <si>
    <t>Census Tract 93.97, Franklin County, Ohio</t>
  </si>
  <si>
    <t>Census Tract 94.01, Franklin County, Ohio</t>
  </si>
  <si>
    <t>Census Tract 94.03, Franklin County, Ohio</t>
  </si>
  <si>
    <t>Census Tract 94.04, Franklin County, Ohio</t>
  </si>
  <si>
    <t>Census Tract 94.05, Franklin County, Ohio</t>
  </si>
  <si>
    <t>Census Tract 94.98, Franklin County, Ohio</t>
  </si>
  <si>
    <t>Census Tract 97.53, Franklin County, Ohio</t>
  </si>
  <si>
    <t>Census Tract 97.54, Franklin County, Ohio</t>
  </si>
  <si>
    <t>Census Tract 97.55, Franklin County, Ohio</t>
  </si>
  <si>
    <t>Census Tract 97.56, Franklin County, Ohio</t>
  </si>
  <si>
    <t>Census Tract 97.57, Franklin County, Ohio</t>
  </si>
  <si>
    <t>Census Tract 98.01, Franklin County, Ohio</t>
  </si>
  <si>
    <t>Census Tract 98.02, Franklin County, Ohio</t>
  </si>
  <si>
    <t>Census Tract 102.01, Franklin County, Ohio</t>
  </si>
  <si>
    <t>Census Tract 102.02, Franklin County, Ohio</t>
  </si>
  <si>
    <t>Census Tract 102.03, Franklin County, Ohio</t>
  </si>
  <si>
    <t>Census Tract 102.04, Franklin County, Ohio</t>
  </si>
  <si>
    <t>Census Tract 104.01, Franklin County, Ohio</t>
  </si>
  <si>
    <t>Census Tract 104.02, Franklin County, Ohio</t>
  </si>
  <si>
    <t>Census Tract 105.01, Franklin County, Ohio</t>
  </si>
  <si>
    <t>Census Tract 105.02, Franklin County, Ohio</t>
  </si>
  <si>
    <t>Census Tract 109, Franklin County, Ohio</t>
  </si>
  <si>
    <t>Census Tract 407.01, Fulton County, Ohio</t>
  </si>
  <si>
    <t>Census Tract 407.02, Fulton County, Ohio</t>
  </si>
  <si>
    <t>Census Tract 9539.01, Gallia County, Ohio</t>
  </si>
  <si>
    <t>Census Tract 9539.02, Gallia County, Ohio</t>
  </si>
  <si>
    <t>Census Tract 2009.01, Greene County, Ohio</t>
  </si>
  <si>
    <t>Census Tract 2009.02, Greene County, Ohio</t>
  </si>
  <si>
    <t>Census Tract 2101.01, Greene County, Ohio</t>
  </si>
  <si>
    <t>Census Tract 2101.02, Greene County, Ohio</t>
  </si>
  <si>
    <t>Census Tract 2102.01, Greene County, Ohio</t>
  </si>
  <si>
    <t>Census Tract 2102.02, Greene County, Ohio</t>
  </si>
  <si>
    <t>Census Tract 2106.04, Greene County, Ohio</t>
  </si>
  <si>
    <t>Census Tract 2106.05, Greene County, Ohio</t>
  </si>
  <si>
    <t>Census Tract 2201.01, Greene County, Ohio</t>
  </si>
  <si>
    <t>Census Tract 2201.02, Greene County, Ohio</t>
  </si>
  <si>
    <t>Census Tract 2202.01, Greene County, Ohio</t>
  </si>
  <si>
    <t>Census Tract 2202.02, Greene County, Ohio</t>
  </si>
  <si>
    <t>Census Tract 2403.03, Greene County, Ohio</t>
  </si>
  <si>
    <t>Census Tract 2403.04, Greene County, Ohio</t>
  </si>
  <si>
    <t>Census Tract 29.01, Hamilton County, Ohio</t>
  </si>
  <si>
    <t>Census Tract 29.02, Hamilton County, Ohio</t>
  </si>
  <si>
    <t>Census Tract 47.03, Hamilton County, Ohio</t>
  </si>
  <si>
    <t>Census Tract 65.01, Hamilton County, Ohio</t>
  </si>
  <si>
    <t>Census Tract 65.02, Hamilton County, Ohio</t>
  </si>
  <si>
    <t>Census Tract 206.03, Hamilton County, Ohio</t>
  </si>
  <si>
    <t>Census Tract 206.04, Hamilton County, Ohio</t>
  </si>
  <si>
    <t>Census Tract 207.63, Hamilton County, Ohio</t>
  </si>
  <si>
    <t>Census Tract 207.64, Hamilton County, Ohio</t>
  </si>
  <si>
    <t>Census Tract 243.23, Hamilton County, Ohio</t>
  </si>
  <si>
    <t>Census Tract 243.24, Hamilton County, Ohio</t>
  </si>
  <si>
    <t>Census Tract 244.01, Hamilton County, Ohio</t>
  </si>
  <si>
    <t>Census Tract 244.02, Hamilton County, Ohio</t>
  </si>
  <si>
    <t>Census Tract 249.03, Hamilton County, Ohio</t>
  </si>
  <si>
    <t>Census Tract 249.04, Hamilton County, Ohio</t>
  </si>
  <si>
    <t>Census Tract 261.03, Hamilton County, Ohio</t>
  </si>
  <si>
    <t>Census Tract 261.04, Hamilton County, Ohio</t>
  </si>
  <si>
    <t>Census Tract 275, Hamilton County, Ohio</t>
  </si>
  <si>
    <t>Census Tract 276, Hamilton County, Ohio</t>
  </si>
  <si>
    <t>Census Tract 277, Hamilton County, Ohio</t>
  </si>
  <si>
    <t>Census Tract 3.01, Hancock County, Ohio</t>
  </si>
  <si>
    <t>Census Tract 3.02, Hancock County, Ohio</t>
  </si>
  <si>
    <t>Census Tract 9.01, Hancock County, Ohio</t>
  </si>
  <si>
    <t>Census Tract 9.02, Hancock County, Ohio</t>
  </si>
  <si>
    <t>Census Tract 4.01, Hardin County, Ohio</t>
  </si>
  <si>
    <t>Census Tract 4.02, Hardin County, Ohio</t>
  </si>
  <si>
    <t>Census Tract 9550.01, Highland County, Ohio</t>
  </si>
  <si>
    <t>Census Tract 9550.02, Highland County, Ohio</t>
  </si>
  <si>
    <t>Census Tract 9551.01, Highland County, Ohio</t>
  </si>
  <si>
    <t>Census Tract 9551.02, Highland County, Ohio</t>
  </si>
  <si>
    <t>Census Tract 9764.01, Holmes County, Ohio</t>
  </si>
  <si>
    <t>Census Tract 9764.02, Holmes County, Ohio</t>
  </si>
  <si>
    <t>Census Tract 9764.03, Holmes County, Ohio</t>
  </si>
  <si>
    <t>Census Tract 124, Jefferson County, Ohio</t>
  </si>
  <si>
    <t>Census Tract 67, Knox County, Ohio</t>
  </si>
  <si>
    <t>Census Tract 68.01, Knox County, Ohio</t>
  </si>
  <si>
    <t>Census Tract 68.02, Knox County, Ohio</t>
  </si>
  <si>
    <t>Census Tract 69, Knox County, Ohio</t>
  </si>
  <si>
    <t>Census Tract 70, Knox County, Ohio</t>
  </si>
  <si>
    <t>Census Tract 71, Knox County, Ohio</t>
  </si>
  <si>
    <t>Census Tract 72, Knox County, Ohio</t>
  </si>
  <si>
    <t>Census Tract 73.01, Knox County, Ohio</t>
  </si>
  <si>
    <t>Census Tract 73.02, Knox County, Ohio</t>
  </si>
  <si>
    <t>Census Tract 74, Knox County, Ohio</t>
  </si>
  <si>
    <t>Census Tract 75, Knox County, Ohio</t>
  </si>
  <si>
    <t>Census Tract 76, Knox County, Ohio</t>
  </si>
  <si>
    <t>Census Tract 77.01, Knox County, Ohio</t>
  </si>
  <si>
    <t>Census Tract 77.02, Knox County, Ohio</t>
  </si>
  <si>
    <t>Census Tract 2011.01, Lake County, Ohio</t>
  </si>
  <si>
    <t>Census Tract 2011.02, Lake County, Ohio</t>
  </si>
  <si>
    <t>Census Tract 2029.01, Lake County, Ohio</t>
  </si>
  <si>
    <t>Census Tract 2029.02, Lake County, Ohio</t>
  </si>
  <si>
    <t>Census Tract 2043.03, Lake County, Ohio</t>
  </si>
  <si>
    <t>Census Tract 2043.04, Lake County, Ohio</t>
  </si>
  <si>
    <t>Census Tract 2067, Lake County, Ohio</t>
  </si>
  <si>
    <t>Census Tract 9900, Lake County, Ohio</t>
  </si>
  <si>
    <t>Census Tract 505.01, Lawrence County, Ohio</t>
  </si>
  <si>
    <t>Census Tract 505.02, Lawrence County, Ohio</t>
  </si>
  <si>
    <t>Census Tract 511.01, Lawrence County, Ohio</t>
  </si>
  <si>
    <t>Census Tract 511.02, Lawrence County, Ohio</t>
  </si>
  <si>
    <t>Census Tract 7528.01, Licking County, Ohio</t>
  </si>
  <si>
    <t>Census Tract 7528.02, Licking County, Ohio</t>
  </si>
  <si>
    <t>Census Tract 7533.01, Licking County, Ohio</t>
  </si>
  <si>
    <t>Census Tract 7533.02, Licking County, Ohio</t>
  </si>
  <si>
    <t>Census Tract 7541.03, Licking County, Ohio</t>
  </si>
  <si>
    <t>Census Tract 7541.04, Licking County, Ohio</t>
  </si>
  <si>
    <t>Census Tract 7553.01, Licking County, Ohio</t>
  </si>
  <si>
    <t>Census Tract 7553.02, Licking County, Ohio</t>
  </si>
  <si>
    <t>Census Tract 7556.01, Licking County, Ohio</t>
  </si>
  <si>
    <t>Census Tract 7556.02, Licking County, Ohio</t>
  </si>
  <si>
    <t>Census Tract 7559.01, Licking County, Ohio</t>
  </si>
  <si>
    <t>Census Tract 7559.02, Licking County, Ohio</t>
  </si>
  <si>
    <t>Census Tract 7562.03, Licking County, Ohio</t>
  </si>
  <si>
    <t>Census Tract 7562.04, Licking County, Ohio</t>
  </si>
  <si>
    <t>Census Tract 7568.01, Licking County, Ohio</t>
  </si>
  <si>
    <t>Census Tract 7568.02, Licking County, Ohio</t>
  </si>
  <si>
    <t>Census Tract 7568.03, Licking County, Ohio</t>
  </si>
  <si>
    <t>Census Tract 7574.01, Licking County, Ohio</t>
  </si>
  <si>
    <t>Census Tract 7574.02, Licking County, Ohio</t>
  </si>
  <si>
    <t>Census Tract 7577.01, Licking County, Ohio</t>
  </si>
  <si>
    <t>Census Tract 7577.02, Licking County, Ohio</t>
  </si>
  <si>
    <t>Census Tract 7586.01, Licking County, Ohio</t>
  </si>
  <si>
    <t>Census Tract 7586.02, Licking County, Ohio</t>
  </si>
  <si>
    <t>Census Tract 7589.01, Licking County, Ohio</t>
  </si>
  <si>
    <t>Census Tract 7589.02, Licking County, Ohio</t>
  </si>
  <si>
    <t>Census Tract 7591.01, Licking County, Ohio</t>
  </si>
  <si>
    <t>Census Tract 7591.02, Licking County, Ohio</t>
  </si>
  <si>
    <t>Census Tract 131.01, Lorain County, Ohio</t>
  </si>
  <si>
    <t>Census Tract 131.02, Lorain County, Ohio</t>
  </si>
  <si>
    <t>Census Tract 132.01, Lorain County, Ohio</t>
  </si>
  <si>
    <t>Census Tract 132.02, Lorain County, Ohio</t>
  </si>
  <si>
    <t>Census Tract 301.01, Lorain County, Ohio</t>
  </si>
  <si>
    <t>Census Tract 301.02, Lorain County, Ohio</t>
  </si>
  <si>
    <t>Census Tract 503.01, Lorain County, Ohio</t>
  </si>
  <si>
    <t>Census Tract 503.02, Lorain County, Ohio</t>
  </si>
  <si>
    <t>Census Tract 807.01, Lorain County, Ohio</t>
  </si>
  <si>
    <t>Census Tract 807.02, Lorain County, Ohio</t>
  </si>
  <si>
    <t>Census Tract 941.01, Lorain County, Ohio</t>
  </si>
  <si>
    <t>Census Tract 941.02, Lorain County, Ohio</t>
  </si>
  <si>
    <t>Census Tract 972.01, Lorain County, Ohio</t>
  </si>
  <si>
    <t>Census Tract 972.02, Lorain County, Ohio</t>
  </si>
  <si>
    <t>Census Tract 974.01, Lorain County, Ohio</t>
  </si>
  <si>
    <t>Census Tract 974.02, Lorain County, Ohio</t>
  </si>
  <si>
    <t>Census Tract 975, Lorain County, Ohio</t>
  </si>
  <si>
    <t>Census Tract 976, Lorain County, Ohio</t>
  </si>
  <si>
    <t>Census Tract 9902, Lorain County, Ohio</t>
  </si>
  <si>
    <t>Census Tract 2.01, Lucas County, Ohio</t>
  </si>
  <si>
    <t>Census Tract 2.02, Lucas County, Ohio</t>
  </si>
  <si>
    <t>Census Tract 3.01, Lucas County, Ohio</t>
  </si>
  <si>
    <t>Census Tract 3.02, Lucas County, Ohio</t>
  </si>
  <si>
    <t>Census Tract 6.01, Lucas County, Ohio</t>
  </si>
  <si>
    <t>Census Tract 6.02, Lucas County, Ohio</t>
  </si>
  <si>
    <t>Census Tract 7.01, Lucas County, Ohio</t>
  </si>
  <si>
    <t>Census Tract 7.02, Lucas County, Ohio</t>
  </si>
  <si>
    <t>Census Tract 7.03, Lucas County, Ohio</t>
  </si>
  <si>
    <t>Census Tract 10.01, Lucas County, Ohio</t>
  </si>
  <si>
    <t>Census Tract 10.02, Lucas County, Ohio</t>
  </si>
  <si>
    <t>Census Tract 16.01, Lucas County, Ohio</t>
  </si>
  <si>
    <t>Census Tract 16.02, Lucas County, Ohio</t>
  </si>
  <si>
    <t>Census Tract 39.01, Lucas County, Ohio</t>
  </si>
  <si>
    <t>Census Tract 39.02, Lucas County, Ohio</t>
  </si>
  <si>
    <t>Census Tract 44.01, Lucas County, Ohio</t>
  </si>
  <si>
    <t>Census Tract 44.02, Lucas County, Ohio</t>
  </si>
  <si>
    <t>Census Tract 51.01, Lucas County, Ohio</t>
  </si>
  <si>
    <t>Census Tract 51.02, Lucas County, Ohio</t>
  </si>
  <si>
    <t>Census Tract 56.01, Lucas County, Ohio</t>
  </si>
  <si>
    <t>Census Tract 56.02, Lucas County, Ohio</t>
  </si>
  <si>
    <t>Census Tract 57.04, Lucas County, Ohio</t>
  </si>
  <si>
    <t>Census Tract 57.05, Lucas County, Ohio</t>
  </si>
  <si>
    <t>Census Tract 58.03, Lucas County, Ohio</t>
  </si>
  <si>
    <t>Census Tract 58.04, Lucas County, Ohio</t>
  </si>
  <si>
    <t>Census Tract 68.01, Lucas County, Ohio</t>
  </si>
  <si>
    <t>Census Tract 68.02, Lucas County, Ohio</t>
  </si>
  <si>
    <t>Census Tract 70.03, Lucas County, Ohio</t>
  </si>
  <si>
    <t>Census Tract 70.04, Lucas County, Ohio</t>
  </si>
  <si>
    <t>Census Tract 71.03, Lucas County, Ohio</t>
  </si>
  <si>
    <t>Census Tract 71.04, Lucas County, Ohio</t>
  </si>
  <si>
    <t>Census Tract 72.06, Lucas County, Ohio</t>
  </si>
  <si>
    <t>Census Tract 72.07, Lucas County, Ohio</t>
  </si>
  <si>
    <t>Census Tract 72.08, Lucas County, Ohio</t>
  </si>
  <si>
    <t>Census Tract 72.09, Lucas County, Ohio</t>
  </si>
  <si>
    <t>Census Tract 73.04, Lucas County, Ohio</t>
  </si>
  <si>
    <t>Census Tract 73.05, Lucas County, Ohio</t>
  </si>
  <si>
    <t>Census Tract 73.06, Lucas County, Ohio</t>
  </si>
  <si>
    <t>Census Tract 73.07, Lucas County, Ohio</t>
  </si>
  <si>
    <t>Census Tract 74.01, Lucas County, Ohio</t>
  </si>
  <si>
    <t>Census Tract 74.02, Lucas County, Ohio</t>
  </si>
  <si>
    <t>Census Tract 75.01, Lucas County, Ohio</t>
  </si>
  <si>
    <t>Census Tract 75.02, Lucas County, Ohio</t>
  </si>
  <si>
    <t>Census Tract 78.01, Lucas County, Ohio</t>
  </si>
  <si>
    <t>Census Tract 78.02, Lucas County, Ohio</t>
  </si>
  <si>
    <t>Census Tract 79.03, Lucas County, Ohio</t>
  </si>
  <si>
    <t>Census Tract 79.04, Lucas County, Ohio</t>
  </si>
  <si>
    <t>Census Tract 82.04, Lucas County, Ohio</t>
  </si>
  <si>
    <t>Census Tract 82.05, Lucas County, Ohio</t>
  </si>
  <si>
    <t>Census Tract 82.06, Lucas County, Ohio</t>
  </si>
  <si>
    <t>Census Tract 82.07, Lucas County, Ohio</t>
  </si>
  <si>
    <t>Census Tract 82.08, Lucas County, Ohio</t>
  </si>
  <si>
    <t>Census Tract 82.09, Lucas County, Ohio</t>
  </si>
  <si>
    <t>Census Tract 82.10, Lucas County, Ohio</t>
  </si>
  <si>
    <t>Census Tract 83.03, Lucas County, Ohio</t>
  </si>
  <si>
    <t>Census Tract 83.04, Lucas County, Ohio</t>
  </si>
  <si>
    <t>Census Tract 84.01, Lucas County, Ohio</t>
  </si>
  <si>
    <t>Census Tract 84.02, Lucas County, Ohio</t>
  </si>
  <si>
    <t>Census Tract 85.01, Lucas County, Ohio</t>
  </si>
  <si>
    <t>Census Tract 85.02, Lucas County, Ohio</t>
  </si>
  <si>
    <t>Census Tract 86.01, Lucas County, Ohio</t>
  </si>
  <si>
    <t>Census Tract 86.02, Lucas County, Ohio</t>
  </si>
  <si>
    <t>Census Tract 87.01, Lucas County, Ohio</t>
  </si>
  <si>
    <t>Census Tract 87.02, Lucas County, Ohio</t>
  </si>
  <si>
    <t>Census Tract 87.03, Lucas County, Ohio</t>
  </si>
  <si>
    <t>Census Tract 88.01, Lucas County, Ohio</t>
  </si>
  <si>
    <t>Census Tract 88.02, Lucas County, Ohio</t>
  </si>
  <si>
    <t>Census Tract 89.03, Lucas County, Ohio</t>
  </si>
  <si>
    <t>Census Tract 89.04, Lucas County, Ohio</t>
  </si>
  <si>
    <t>Census Tract 89.05, Lucas County, Ohio</t>
  </si>
  <si>
    <t>Census Tract 89.06, Lucas County, Ohio</t>
  </si>
  <si>
    <t>Census Tract 90.01, Lucas County, Ohio</t>
  </si>
  <si>
    <t>Census Tract 90.02, Lucas County, Ohio</t>
  </si>
  <si>
    <t>Census Tract 90.03, Lucas County, Ohio</t>
  </si>
  <si>
    <t>Census Tract 91.03, Lucas County, Ohio</t>
  </si>
  <si>
    <t>Census Tract 91.04, Lucas County, Ohio</t>
  </si>
  <si>
    <t>Census Tract 92.03, Lucas County, Ohio</t>
  </si>
  <si>
    <t>Census Tract 92.04, Lucas County, Ohio</t>
  </si>
  <si>
    <t>Census Tract 92.05, Lucas County, Ohio</t>
  </si>
  <si>
    <t>Census Tract 92.06, Lucas County, Ohio</t>
  </si>
  <si>
    <t>Census Tract 99.01, Lucas County, Ohio</t>
  </si>
  <si>
    <t>Census Tract 99.02, Lucas County, Ohio</t>
  </si>
  <si>
    <t>Census Tract 105, Lucas County, Ohio</t>
  </si>
  <si>
    <t>Census Tract 106, Lucas County, Ohio</t>
  </si>
  <si>
    <t>Census Tract 9900, Lucas County, Ohio</t>
  </si>
  <si>
    <t>Census Tract 8005.01, Mahoning County, Ohio</t>
  </si>
  <si>
    <t>Census Tract 8005.02, Mahoning County, Ohio</t>
  </si>
  <si>
    <t>Census Tract 8113.01, Mahoning County, Ohio</t>
  </si>
  <si>
    <t>Census Tract 8113.02, Mahoning County, Ohio</t>
  </si>
  <si>
    <t>Census Tract 8121.01, Mahoning County, Ohio</t>
  </si>
  <si>
    <t>Census Tract 8121.02, Mahoning County, Ohio</t>
  </si>
  <si>
    <t>Census Tract 8126.04, Mahoning County, Ohio</t>
  </si>
  <si>
    <t>Census Tract 8126.05, Mahoning County, Ohio</t>
  </si>
  <si>
    <t>Census Tract 8135.01, Mahoning County, Ohio</t>
  </si>
  <si>
    <t>Census Tract 8135.02, Mahoning County, Ohio</t>
  </si>
  <si>
    <t>Census Tract 8136.01, Mahoning County, Ohio</t>
  </si>
  <si>
    <t>Census Tract 8136.02, Mahoning County, Ohio</t>
  </si>
  <si>
    <t>Census Tract 8142, Mahoning County, Ohio</t>
  </si>
  <si>
    <t>Census Tract 4081.01, Medina County, Ohio</t>
  </si>
  <si>
    <t>Census Tract 4081.02, Medina County, Ohio</t>
  </si>
  <si>
    <t>Census Tract 4083.03, Medina County, Ohio</t>
  </si>
  <si>
    <t>Census Tract 4083.04, Medina County, Ohio</t>
  </si>
  <si>
    <t>Census Tract 4083.05, Medina County, Ohio</t>
  </si>
  <si>
    <t>Census Tract 4158.01, Medina County, Ohio</t>
  </si>
  <si>
    <t>Census Tract 4158.02, Medina County, Ohio</t>
  </si>
  <si>
    <t>Census Tract 4170.01, Medina County, Ohio</t>
  </si>
  <si>
    <t>Census Tract 4170.02, Medina County, Ohio</t>
  </si>
  <si>
    <t>Census Tract 3501.01, Miami County, Ohio</t>
  </si>
  <si>
    <t>Census Tract 3501.02, Miami County, Ohio</t>
  </si>
  <si>
    <t>Census Tract 3650.01, Miami County, Ohio</t>
  </si>
  <si>
    <t>Census Tract 3650.02, Miami County, Ohio</t>
  </si>
  <si>
    <t>Census Tract 18.01, Montgomery County, Ohio</t>
  </si>
  <si>
    <t>Census Tract 18.02, Montgomery County, Ohio</t>
  </si>
  <si>
    <t>Census Tract 501.06, Montgomery County, Ohio</t>
  </si>
  <si>
    <t>Census Tract 501.07, Montgomery County, Ohio</t>
  </si>
  <si>
    <t>Census Tract 1251.03, Montgomery County, Ohio</t>
  </si>
  <si>
    <t>Census Tract 1251.04, Montgomery County, Ohio</t>
  </si>
  <si>
    <t>Census Tract 9652.01, Morrow County, Ohio</t>
  </si>
  <si>
    <t>Census Tract 9652.02, Morrow County, Ohio</t>
  </si>
  <si>
    <t>Census Tract 9654.01, Morrow County, Ohio</t>
  </si>
  <si>
    <t>Census Tract 9654.02, Morrow County, Ohio</t>
  </si>
  <si>
    <t>Census Tract 9655.01, Morrow County, Ohio</t>
  </si>
  <si>
    <t>Census Tract 9655.02, Morrow County, Ohio</t>
  </si>
  <si>
    <t>Census Tract 9112.01, Muskingum County, Ohio</t>
  </si>
  <si>
    <t>Census Tract 9112.02, Muskingum County, Ohio</t>
  </si>
  <si>
    <t>Census Tract 9116.01, Muskingum County, Ohio</t>
  </si>
  <si>
    <t>Census Tract 9116.02, Muskingum County, Ohio</t>
  </si>
  <si>
    <t>Census Tract 9684.01, Noble County, Ohio</t>
  </si>
  <si>
    <t>Census Tract 9684.02, Noble County, Ohio</t>
  </si>
  <si>
    <t>Census Tract 512.01, Ottawa County, Ohio</t>
  </si>
  <si>
    <t>Census Tract 512.02, Ottawa County, Ohio</t>
  </si>
  <si>
    <t>Census Tract 512.03, Ottawa County, Ohio</t>
  </si>
  <si>
    <t>Census Tract 9658.01, Perry County, Ohio</t>
  </si>
  <si>
    <t>Census Tract 9658.02, Perry County, Ohio</t>
  </si>
  <si>
    <t>Census Tract 9659.01, Perry County, Ohio</t>
  </si>
  <si>
    <t>Census Tract 9659.02, Perry County, Ohio</t>
  </si>
  <si>
    <t>Census Tract 9663.01, Perry County, Ohio</t>
  </si>
  <si>
    <t>Census Tract 9663.02, Perry County, Ohio</t>
  </si>
  <si>
    <t>Census Tract 211.01, Pickaway County, Ohio</t>
  </si>
  <si>
    <t>Census Tract 211.02, Pickaway County, Ohio</t>
  </si>
  <si>
    <t>Census Tract 212.01, Pickaway County, Ohio</t>
  </si>
  <si>
    <t>Census Tract 212.02, Pickaway County, Ohio</t>
  </si>
  <si>
    <t>Census Tract 214.03, Pickaway County, Ohio</t>
  </si>
  <si>
    <t>Census Tract 214.04, Pickaway County, Ohio</t>
  </si>
  <si>
    <t>Census Tract 9526.01, Pike County, Ohio</t>
  </si>
  <si>
    <t>Census Tract 9526.02, Pike County, Ohio</t>
  </si>
  <si>
    <t>Census Tract 6003.03, Portage County, Ohio</t>
  </si>
  <si>
    <t>Census Tract 6003.04, Portage County, Ohio</t>
  </si>
  <si>
    <t>Census Tract 6017.03, Portage County, Ohio</t>
  </si>
  <si>
    <t>Census Tract 6017.04, Portage County, Ohio</t>
  </si>
  <si>
    <t>Census Tract 6021.01, Portage County, Ohio</t>
  </si>
  <si>
    <t>Census Tract 6021.02, Portage County, Ohio</t>
  </si>
  <si>
    <t>Census Tract 303.01, Putnam County, Ohio</t>
  </si>
  <si>
    <t>Census Tract 303.02, Putnam County, Ohio</t>
  </si>
  <si>
    <t>Census Tract 9556.04, Ross County, Ohio</t>
  </si>
  <si>
    <t>Census Tract 9558.01, Ross County, Ohio</t>
  </si>
  <si>
    <t>Census Tract 9558.02, Ross County, Ohio</t>
  </si>
  <si>
    <t>Census Tract 29.01, Scioto County, Ohio</t>
  </si>
  <si>
    <t>Census Tract 29.02, Scioto County, Ohio</t>
  </si>
  <si>
    <t>Census Tract 7007.01, Stark County, Ohio</t>
  </si>
  <si>
    <t>Census Tract 7007.02, Stark County, Ohio</t>
  </si>
  <si>
    <t>Census Tract 7110.01, Stark County, Ohio</t>
  </si>
  <si>
    <t>Census Tract 7110.02, Stark County, Ohio</t>
  </si>
  <si>
    <t>Census Tract 7113.23, Stark County, Ohio</t>
  </si>
  <si>
    <t>Census Tract 7113.24, Stark County, Ohio</t>
  </si>
  <si>
    <t>Census Tract 7121.13, Stark County, Ohio</t>
  </si>
  <si>
    <t>Census Tract 7121.14, Stark County, Ohio</t>
  </si>
  <si>
    <t>Census Tract 5075.01, Summit County, Ohio</t>
  </si>
  <si>
    <t>Census Tract 5075.02, Summit County, Ohio</t>
  </si>
  <si>
    <t>Census Tract 5314.06, Summit County, Ohio</t>
  </si>
  <si>
    <t>Census Tract 5314.07, Summit County, Ohio</t>
  </si>
  <si>
    <t>Census Tract 5315.01, Summit County, Ohio</t>
  </si>
  <si>
    <t>Census Tract 5315.02, Summit County, Ohio</t>
  </si>
  <si>
    <t>Census Tract 9340, Trumbull County, Ohio</t>
  </si>
  <si>
    <t>Census Tract 208.01, Tuscarawas County, Ohio</t>
  </si>
  <si>
    <t>Census Tract 208.02, Tuscarawas County, Ohio</t>
  </si>
  <si>
    <t>Census Tract 215.01, Tuscarawas County, Ohio</t>
  </si>
  <si>
    <t>Census Tract 215.02, Tuscarawas County, Ohio</t>
  </si>
  <si>
    <t>Census Tract 215.03, Tuscarawas County, Ohio</t>
  </si>
  <si>
    <t>Census Tract 504.01, Union County, Ohio</t>
  </si>
  <si>
    <t>Census Tract 504.02, Union County, Ohio</t>
  </si>
  <si>
    <t>Census Tract 505.01, Union County, Ohio</t>
  </si>
  <si>
    <t>Census Tract 505.02, Union County, Ohio</t>
  </si>
  <si>
    <t>Census Tract 507.01, Union County, Ohio</t>
  </si>
  <si>
    <t>Census Tract 507.02, Union County, Ohio</t>
  </si>
  <si>
    <t>Census Tract 309.01, Warren County, Ohio</t>
  </si>
  <si>
    <t>Census Tract 309.02, Warren County, Ohio</t>
  </si>
  <si>
    <t>Census Tract 310.01, Warren County, Ohio</t>
  </si>
  <si>
    <t>Census Tract 310.02, Warren County, Ohio</t>
  </si>
  <si>
    <t>Census Tract 316.01, Warren County, Ohio</t>
  </si>
  <si>
    <t>Census Tract 316.02, Warren County, Ohio</t>
  </si>
  <si>
    <t>Census Tract 316.03, Warren County, Ohio</t>
  </si>
  <si>
    <t>Census Tract 319.05, Warren County, Ohio</t>
  </si>
  <si>
    <t>Census Tract 319.06, Warren County, Ohio</t>
  </si>
  <si>
    <t>Census Tract 319.07, Warren County, Ohio</t>
  </si>
  <si>
    <t>Census Tract 319.08, Warren County, Ohio</t>
  </si>
  <si>
    <t>Census Tract 320.08, Warren County, Ohio</t>
  </si>
  <si>
    <t>Census Tract 320.09, Warren County, Ohio</t>
  </si>
  <si>
    <t>Census Tract 320.10, Warren County, Ohio</t>
  </si>
  <si>
    <t>Census Tract 320.11, Warren County, Ohio</t>
  </si>
  <si>
    <t>Census Tract 322.03, Warren County, Ohio</t>
  </si>
  <si>
    <t>Census Tract 322.04, Warren County, Ohio</t>
  </si>
  <si>
    <t>Census Tract 322.05, Warren County, Ohio</t>
  </si>
  <si>
    <t>Census Tract 322.06, Warren County, Ohio</t>
  </si>
  <si>
    <t>Census Tract 202.01, Washington County, Ohio</t>
  </si>
  <si>
    <t>Census Tract 202.02, Washington County, Ohio</t>
  </si>
  <si>
    <t>Census Tract 212.01, Washington County, Ohio</t>
  </si>
  <si>
    <t>Census Tract 212.02, Washington County, Ohio</t>
  </si>
  <si>
    <t>Census Tract 207.01, Wood County, Ohio</t>
  </si>
  <si>
    <t>Census Tract 207.02, Wood County, Ohio</t>
  </si>
  <si>
    <t>Census Tract 209.01, Wood County, Ohio</t>
  </si>
  <si>
    <t>Census Tract 209.02, Wood County, Ohio</t>
  </si>
  <si>
    <t>Census Tract 216.01, Wood County, Ohio</t>
  </si>
  <si>
    <t>Census Tract 216.02, Wood County, Ohio</t>
  </si>
  <si>
    <t>2022 DDA</t>
  </si>
  <si>
    <t>AHFA must reflect a local MHA with 51% General Partnership Interest in the ownership structure.</t>
  </si>
  <si>
    <t>A letter from OHFA confirming CHDO Status should be included</t>
  </si>
  <si>
    <t>AHFA must reflect a local MHA with 51% General Partnership Interest in the ownership structure</t>
  </si>
  <si>
    <t>A letter from OHFA confirming CHDO Status should be included.</t>
  </si>
  <si>
    <t>AHFA must reflect a local MHA with 51% General Partnership
Interest in the ownership structure.</t>
  </si>
  <si>
    <t>60% AMI HTC County Rent: Efficiency</t>
  </si>
  <si>
    <t>60% AMI HTC County Rent: 2 BR</t>
  </si>
  <si>
    <t>60% AMI HTC County Rent: 4+ BR</t>
  </si>
  <si>
    <t>60% AMI HTC County Rent: 1 BR</t>
  </si>
  <si>
    <t>60% AMI HTC County Rent: 3 BR</t>
  </si>
  <si>
    <t>Applicant must submit proof that the HTC Project was placed in service prior to February 10, 1998 and market study confirms that market rents for comparable properties are at least 5% higher than the HTC maximum. There are no non-OHFA rent restrictions on the real estate.</t>
  </si>
  <si>
    <t>Prior to 2/10/1998</t>
  </si>
  <si>
    <t>For 9% Competitive and BGF applications, due at Final application only--UNLESS seeking Experienced Ownership Points</t>
  </si>
  <si>
    <t>Experience &amp; Capacity - All Applicants</t>
  </si>
  <si>
    <t>Minimum Eligibility Requirements for 9% HTC Applicants: 
Applicants must have prior HTC experience as defined below and outlined in the QAP (page 70) in order to apply for Ohio 9% HTC. 
Minimum Eligibility Requirements for BGF Applicants: 
Applicants mu</t>
  </si>
  <si>
    <r>
      <rPr>
        <b/>
        <sz val="11"/>
        <rFont val="Arial"/>
        <family val="2"/>
        <scheme val="minor"/>
      </rPr>
      <t>Minimum Eligibility Requirements for 4% HTC Applicants:</t>
    </r>
    <r>
      <rPr>
        <sz val="11"/>
        <rFont val="Arial"/>
        <family val="2"/>
        <scheme val="minor"/>
      </rPr>
      <t xml:space="preserve"> 
Applicants must have prior HTC experience as defined below and outlined in the QAP (page 70) in order to apply for Ohio 4% HTC. 
</t>
    </r>
    <r>
      <rPr>
        <b/>
        <sz val="11"/>
        <rFont val="Arial"/>
        <family val="2"/>
        <scheme val="minor"/>
      </rPr>
      <t xml:space="preserve">Minimum Eligibility Requirements for BGF Applicants: 
</t>
    </r>
    <r>
      <rPr>
        <sz val="11"/>
        <rFont val="Arial"/>
        <family val="2"/>
        <scheme val="minor"/>
      </rPr>
      <t xml:space="preserve">Applicants must have successfully placed at least one LIHTC project in service in Ohio within the last 10 years.
Out of state developers who have not placed at least one LIHTC project in service in Ohio within the last 10 years, but who partner with an entity who meets the necessary requirements are also eligible.
</t>
    </r>
    <r>
      <rPr>
        <i/>
        <sz val="11"/>
        <rFont val="Arial"/>
        <family val="2"/>
        <scheme val="minor"/>
      </rPr>
      <t/>
    </r>
  </si>
  <si>
    <t>HDL Type</t>
  </si>
  <si>
    <r>
      <t xml:space="preserve">AHFA 2023 </t>
    </r>
    <r>
      <rPr>
        <i/>
        <sz val="12"/>
        <color theme="4"/>
        <rFont val="Century Gothic"/>
        <family val="2"/>
      </rPr>
      <t>Release Date 12/07/2022</t>
    </r>
  </si>
  <si>
    <t>Scoring items in Preservation Workbook corrected to match QAP</t>
  </si>
  <si>
    <t>Inadvertant MLP amounts removed</t>
  </si>
  <si>
    <t xml:space="preserve">A brief narrative describing the management history, the components that need replacing, and a detailed itemization of the use of the project’s replacement reserves. 
For each component that needs replacement, the applicant must identify the specific page numbers of the PCNA that clearly state the system as being both past its effective useful life AND needing immediate replacement. 
The applicant must also identify the specific page numbers of the scope of work that addresses replacement of these components. </t>
  </si>
  <si>
    <t>Components needing replacement:</t>
  </si>
  <si>
    <t>A market study clearly demonstrating an affordable rent advantage of at least 10 percent for each bedroom size in the primary market area.</t>
  </si>
  <si>
    <t>Corrected Experienced Ownership language in Preservation Scoring Tab</t>
  </si>
  <si>
    <t>Experience and Capacity tab and Management Capacity Tab demonstrates the GP is in the ownership entity for at least five federal, income restricted properties in Ohio and property manager has at least 10 years of affordable housing experience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</si>
</sst>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
    <numFmt numFmtId="165" formatCode="_(&quot;$&quot;* #,##0_);_(&quot;$&quot;* \(#,##0\);_(&quot;$&quot;* &quot;-&quot;??_);_(@_)"/>
    <numFmt numFmtId="166" formatCode="&quot;$&quot;#,##0"/>
    <numFmt numFmtId="167" formatCode="##\-####"/>
    <numFmt numFmtId="168" formatCode="_(* #,##0.0000_);_(* \(#,##0.0000\);_(* &quot;-&quot;??_);_(@_)"/>
    <numFmt numFmtId="169" formatCode="_(* #,##0_);_(* \(#,##0\);_(* &quot;-&quot;??_);_(@_)"/>
    <numFmt numFmtId="170" formatCode="#####\-####"/>
    <numFmt numFmtId="171" formatCode="[&lt;=9999999]###\-####;\(###\)\ ###\-####"/>
    <numFmt numFmtId="172" formatCode="0.000%"/>
    <numFmt numFmtId="173" formatCode="0.000000"/>
    <numFmt numFmtId="174" formatCode="##\-#######"/>
    <numFmt numFmtId="175" formatCode="General_)"/>
    <numFmt numFmtId="176" formatCode="0.000"/>
    <numFmt numFmtId="177" formatCode="&quot;$&quot;#,##0.00"/>
    <numFmt numFmtId="178" formatCode="0.0"/>
    <numFmt numFmtId="179" formatCode="##,###,###;\-##,###,###;"/>
    <numFmt numFmtId="180" formatCode="##,###,##0.00;\-##,###,##0.00;"/>
    <numFmt numFmtId="181" formatCode="#,##0.00_ ;\-#,##0.00\ "/>
    <numFmt numFmtId="182" formatCode="[$-409]mmmm\ d\,\ yyyy;@"/>
  </numFmts>
  <fonts count="97" x14ac:knownFonts="1">
    <font>
      <sz val="11"/>
      <color theme="1"/>
      <name val="Arial"/>
      <family val="2"/>
      <scheme val="minor"/>
    </font>
    <font>
      <sz val="11"/>
      <color theme="1"/>
      <name val="Arial"/>
      <family val="2"/>
      <scheme val="minor"/>
    </font>
    <font>
      <b/>
      <sz val="11"/>
      <color theme="0"/>
      <name val="Arial"/>
      <family val="2"/>
      <scheme val="minor"/>
    </font>
    <font>
      <b/>
      <sz val="11"/>
      <color theme="1"/>
      <name val="Arial"/>
      <family val="2"/>
      <scheme val="minor"/>
    </font>
    <font>
      <sz val="11"/>
      <color theme="3"/>
      <name val="Arial"/>
      <family val="2"/>
      <scheme val="minor"/>
    </font>
    <font>
      <sz val="11"/>
      <name val="Arial"/>
      <family val="2"/>
      <scheme val="minor"/>
    </font>
    <font>
      <b/>
      <sz val="18"/>
      <color theme="0"/>
      <name val="Century Gothic"/>
      <family val="2"/>
    </font>
    <font>
      <b/>
      <sz val="12"/>
      <color theme="4"/>
      <name val="Century Gothic"/>
      <family val="2"/>
    </font>
    <font>
      <b/>
      <sz val="14"/>
      <color theme="5"/>
      <name val="Century Gothic"/>
      <family val="2"/>
    </font>
    <font>
      <sz val="11"/>
      <color theme="1"/>
      <name val="Calibri"/>
      <family val="2"/>
    </font>
    <font>
      <u/>
      <sz val="11"/>
      <color theme="10"/>
      <name val="Arial"/>
      <family val="2"/>
      <scheme val="minor"/>
    </font>
    <font>
      <b/>
      <sz val="12"/>
      <color theme="4"/>
      <name val="Arial"/>
      <family val="2"/>
      <scheme val="minor"/>
    </font>
    <font>
      <b/>
      <sz val="11"/>
      <color theme="3"/>
      <name val="Arial"/>
      <family val="2"/>
      <scheme val="minor"/>
    </font>
    <font>
      <b/>
      <sz val="11"/>
      <name val="Arial"/>
      <family val="2"/>
      <scheme val="minor"/>
    </font>
    <font>
      <b/>
      <sz val="11"/>
      <color theme="4"/>
      <name val="Arial"/>
      <family val="2"/>
      <scheme val="minor"/>
    </font>
    <font>
      <b/>
      <sz val="11"/>
      <color rgb="FFC00000"/>
      <name val="Arial"/>
      <family val="2"/>
      <scheme val="minor"/>
    </font>
    <font>
      <b/>
      <u/>
      <sz val="11"/>
      <color theme="4"/>
      <name val="Arial"/>
      <family val="2"/>
      <scheme val="minor"/>
    </font>
    <font>
      <b/>
      <sz val="9"/>
      <color indexed="81"/>
      <name val="Tahoma"/>
      <family val="2"/>
    </font>
    <font>
      <i/>
      <sz val="11"/>
      <color theme="3"/>
      <name val="Arial"/>
      <family val="2"/>
      <scheme val="minor"/>
    </font>
    <font>
      <sz val="10"/>
      <color theme="1"/>
      <name val="Arial"/>
      <family val="2"/>
      <scheme val="minor"/>
    </font>
    <font>
      <b/>
      <i/>
      <sz val="11"/>
      <color rgb="FFC00000"/>
      <name val="Arial"/>
      <family val="2"/>
      <scheme val="minor"/>
    </font>
    <font>
      <sz val="12"/>
      <color theme="1"/>
      <name val="Arial"/>
      <family val="2"/>
      <scheme val="minor"/>
    </font>
    <font>
      <b/>
      <sz val="14"/>
      <color theme="5"/>
      <name val="Century Gothic"/>
      <family val="2"/>
      <scheme val="major"/>
    </font>
    <font>
      <b/>
      <sz val="11"/>
      <color theme="4" tint="-0.249977111117893"/>
      <name val="Arial"/>
      <family val="2"/>
      <scheme val="minor"/>
    </font>
    <font>
      <b/>
      <sz val="11"/>
      <color theme="5" tint="-0.499984740745262"/>
      <name val="Arial"/>
      <family val="2"/>
      <scheme val="minor"/>
    </font>
    <font>
      <i/>
      <sz val="11"/>
      <color rgb="FFC00000"/>
      <name val="Arial"/>
      <family val="2"/>
      <scheme val="minor"/>
    </font>
    <font>
      <b/>
      <sz val="11"/>
      <color rgb="FF7030A0"/>
      <name val="Arial"/>
      <family val="2"/>
      <scheme val="minor"/>
    </font>
    <font>
      <b/>
      <sz val="12"/>
      <color theme="0"/>
      <name val="Arial"/>
      <family val="2"/>
      <scheme val="minor"/>
    </font>
    <font>
      <sz val="11"/>
      <color theme="0"/>
      <name val="Arial"/>
      <family val="2"/>
      <scheme val="minor"/>
    </font>
    <font>
      <i/>
      <sz val="11"/>
      <color theme="1"/>
      <name val="Arial"/>
      <family val="2"/>
      <scheme val="minor"/>
    </font>
    <font>
      <b/>
      <sz val="18"/>
      <color theme="0"/>
      <name val="Arial"/>
      <family val="2"/>
      <scheme val="minor"/>
    </font>
    <font>
      <b/>
      <i/>
      <sz val="11"/>
      <color rgb="FFFF0000"/>
      <name val="Arial"/>
      <family val="2"/>
      <scheme val="minor"/>
    </font>
    <font>
      <b/>
      <sz val="10"/>
      <color theme="4"/>
      <name val="Century Gothic"/>
      <family val="2"/>
    </font>
    <font>
      <b/>
      <i/>
      <sz val="11"/>
      <color theme="4"/>
      <name val="Arial"/>
      <family val="2"/>
      <scheme val="minor"/>
    </font>
    <font>
      <b/>
      <u/>
      <sz val="11"/>
      <color theme="3"/>
      <name val="Arial"/>
      <family val="2"/>
      <scheme val="minor"/>
    </font>
    <font>
      <b/>
      <i/>
      <sz val="11"/>
      <color theme="8" tint="-0.249977111117893"/>
      <name val="Arial"/>
      <family val="2"/>
      <scheme val="minor"/>
    </font>
    <font>
      <b/>
      <i/>
      <sz val="11"/>
      <color theme="8"/>
      <name val="Arial"/>
      <family val="2"/>
      <scheme val="minor"/>
    </font>
    <font>
      <b/>
      <sz val="10"/>
      <color theme="0"/>
      <name val="Arial"/>
      <family val="2"/>
      <scheme val="minor"/>
    </font>
    <font>
      <b/>
      <sz val="14"/>
      <color theme="4"/>
      <name val="Century Gothic"/>
      <family val="2"/>
      <scheme val="major"/>
    </font>
    <font>
      <i/>
      <sz val="12"/>
      <color theme="4"/>
      <name val="Century Gothic"/>
      <family val="2"/>
    </font>
    <font>
      <b/>
      <i/>
      <sz val="11"/>
      <color theme="5" tint="-0.249977111117893"/>
      <name val="Arial"/>
      <family val="2"/>
      <scheme val="minor"/>
    </font>
    <font>
      <b/>
      <sz val="16"/>
      <color theme="8"/>
      <name val="Arial"/>
      <family val="2"/>
      <scheme val="minor"/>
    </font>
    <font>
      <b/>
      <u/>
      <sz val="11"/>
      <color theme="1"/>
      <name val="Arial"/>
      <family val="2"/>
      <scheme val="minor"/>
    </font>
    <font>
      <sz val="11"/>
      <color theme="5"/>
      <name val="Arial"/>
      <family val="2"/>
      <scheme val="minor"/>
    </font>
    <font>
      <sz val="10"/>
      <name val="Arial"/>
      <family val="2"/>
    </font>
    <font>
      <i/>
      <sz val="10"/>
      <color theme="1"/>
      <name val="Arial"/>
      <family val="2"/>
      <scheme val="minor"/>
    </font>
    <font>
      <b/>
      <sz val="11"/>
      <name val="Arial"/>
      <family val="2"/>
    </font>
    <font>
      <sz val="9"/>
      <color indexed="81"/>
      <name val="Tahoma"/>
      <family val="2"/>
    </font>
    <font>
      <sz val="8"/>
      <color rgb="FF000000"/>
      <name val="Segoe UI"/>
      <family val="2"/>
    </font>
    <font>
      <b/>
      <sz val="14"/>
      <color theme="0"/>
      <name val="Century Gothic"/>
      <family val="2"/>
    </font>
    <font>
      <b/>
      <sz val="11"/>
      <color theme="2"/>
      <name val="Arial"/>
      <family val="2"/>
      <scheme val="minor"/>
    </font>
    <font>
      <b/>
      <i/>
      <sz val="11"/>
      <color theme="1"/>
      <name val="Arial"/>
      <family val="2"/>
      <scheme val="minor"/>
    </font>
    <font>
      <sz val="10"/>
      <name val="Times New Roman"/>
      <family val="1"/>
    </font>
    <font>
      <sz val="10"/>
      <name val="Arial"/>
      <family val="2"/>
      <scheme val="minor"/>
    </font>
    <font>
      <b/>
      <sz val="12"/>
      <name val="Arial"/>
      <family val="2"/>
      <scheme val="minor"/>
    </font>
    <font>
      <b/>
      <sz val="8"/>
      <name val="Arial"/>
      <family val="2"/>
      <scheme val="minor"/>
    </font>
    <font>
      <sz val="10"/>
      <color indexed="8"/>
      <name val="Arial"/>
      <family val="2"/>
      <scheme val="minor"/>
    </font>
    <font>
      <sz val="10"/>
      <color indexed="8"/>
      <name val="Calibri"/>
      <family val="2"/>
    </font>
    <font>
      <b/>
      <sz val="10"/>
      <name val="Arial"/>
      <family val="2"/>
      <scheme val="minor"/>
    </font>
    <font>
      <b/>
      <sz val="9"/>
      <name val="Arial"/>
      <family val="2"/>
      <scheme val="minor"/>
    </font>
    <font>
      <sz val="11"/>
      <color rgb="FFFF0000"/>
      <name val="Arial"/>
      <family val="2"/>
      <scheme val="minor"/>
    </font>
    <font>
      <i/>
      <sz val="11"/>
      <name val="Arial"/>
      <family val="2"/>
      <scheme val="minor"/>
    </font>
    <font>
      <b/>
      <sz val="8"/>
      <color theme="0"/>
      <name val="Arial"/>
      <family val="2"/>
      <scheme val="minor"/>
    </font>
    <font>
      <i/>
      <sz val="11"/>
      <color rgb="FF333333"/>
      <name val="Arial"/>
      <family val="2"/>
      <scheme val="minor"/>
    </font>
    <font>
      <b/>
      <i/>
      <sz val="14"/>
      <color theme="5"/>
      <name val="Century Gothic"/>
      <family val="2"/>
    </font>
    <font>
      <b/>
      <i/>
      <sz val="12"/>
      <color theme="5"/>
      <name val="Century Gothic"/>
      <family val="2"/>
    </font>
    <font>
      <b/>
      <i/>
      <sz val="14"/>
      <color rgb="FFC00000"/>
      <name val="Arial"/>
      <family val="2"/>
      <scheme val="minor"/>
    </font>
    <font>
      <b/>
      <i/>
      <sz val="12"/>
      <color rgb="FFC00000"/>
      <name val="Arial"/>
      <family val="2"/>
      <scheme val="minor"/>
    </font>
    <font>
      <i/>
      <sz val="11"/>
      <color theme="4"/>
      <name val="Arial"/>
      <family val="2"/>
    </font>
    <font>
      <b/>
      <sz val="12"/>
      <color theme="4"/>
      <name val="Century Gothic"/>
      <family val="2"/>
      <scheme val="major"/>
    </font>
    <font>
      <b/>
      <sz val="14"/>
      <color theme="0"/>
      <name val="Arial"/>
      <family val="2"/>
      <scheme val="minor"/>
    </font>
    <font>
      <sz val="10"/>
      <color theme="3"/>
      <name val="Arial"/>
      <family val="2"/>
      <scheme val="minor"/>
    </font>
    <font>
      <b/>
      <sz val="14"/>
      <color theme="0"/>
      <name val="Century Gothic"/>
      <family val="2"/>
      <scheme val="major"/>
    </font>
    <font>
      <b/>
      <i/>
      <sz val="11"/>
      <color theme="0"/>
      <name val="Arial"/>
      <family val="2"/>
      <scheme val="minor"/>
    </font>
    <font>
      <b/>
      <u/>
      <sz val="11"/>
      <color theme="10"/>
      <name val="Arial"/>
      <family val="2"/>
      <scheme val="minor"/>
    </font>
    <font>
      <u/>
      <sz val="11"/>
      <color theme="3"/>
      <name val="Arial"/>
      <family val="2"/>
      <scheme val="minor"/>
    </font>
    <font>
      <i/>
      <sz val="11"/>
      <color theme="0"/>
      <name val="Arial"/>
      <family val="2"/>
      <scheme val="minor"/>
    </font>
    <font>
      <b/>
      <i/>
      <sz val="14"/>
      <color rgb="FFFF0000"/>
      <name val="Arial"/>
      <family val="2"/>
      <scheme val="minor"/>
    </font>
    <font>
      <b/>
      <sz val="16"/>
      <color theme="5"/>
      <name val="Century Gothic"/>
      <family val="2"/>
    </font>
    <font>
      <i/>
      <sz val="11"/>
      <name val="Arial"/>
      <family val="2"/>
    </font>
    <font>
      <b/>
      <u/>
      <sz val="11"/>
      <color theme="0"/>
      <name val="Arial"/>
      <family val="2"/>
      <scheme val="minor"/>
    </font>
    <font>
      <b/>
      <sz val="14"/>
      <name val="Arial"/>
      <family val="2"/>
      <scheme val="minor"/>
    </font>
    <font>
      <b/>
      <sz val="14"/>
      <color theme="1"/>
      <name val="Arial"/>
      <family val="2"/>
      <scheme val="minor"/>
    </font>
    <font>
      <sz val="10"/>
      <color theme="0"/>
      <name val="Arial"/>
      <family val="2"/>
      <scheme val="minor"/>
    </font>
    <font>
      <b/>
      <sz val="11"/>
      <color theme="0" tint="-0.499984740745262"/>
      <name val="Arial"/>
      <family val="2"/>
      <scheme val="minor"/>
    </font>
    <font>
      <sz val="11"/>
      <color theme="0" tint="-0.499984740745262"/>
      <name val="Arial"/>
      <family val="2"/>
      <scheme val="minor"/>
    </font>
    <font>
      <sz val="10"/>
      <color rgb="FFFF0000"/>
      <name val="Arial"/>
      <family val="2"/>
      <scheme val="minor"/>
    </font>
    <font>
      <sz val="10"/>
      <color rgb="FF3F3F3F"/>
      <name val="Arial"/>
      <family val="2"/>
    </font>
    <font>
      <sz val="10"/>
      <color rgb="FF000000"/>
      <name val="Arial"/>
      <family val="2"/>
    </font>
    <font>
      <b/>
      <sz val="10"/>
      <name val="Arial"/>
      <family val="2"/>
    </font>
    <font>
      <sz val="11"/>
      <color theme="1"/>
      <name val="Times New Roman"/>
      <family val="1"/>
    </font>
    <font>
      <b/>
      <sz val="10"/>
      <color theme="1"/>
      <name val="Arial"/>
      <family val="2"/>
    </font>
    <font>
      <sz val="10"/>
      <color theme="1"/>
      <name val="Arial"/>
      <family val="2"/>
    </font>
    <font>
      <b/>
      <u/>
      <sz val="11"/>
      <color theme="5" tint="-0.249977111117893"/>
      <name val="Arial"/>
      <family val="2"/>
      <scheme val="minor"/>
    </font>
    <font>
      <b/>
      <sz val="11"/>
      <color rgb="FFFF0000"/>
      <name val="Arial"/>
      <family val="2"/>
      <scheme val="minor"/>
    </font>
    <font>
      <sz val="9"/>
      <color indexed="81"/>
      <name val="Tahoma"/>
      <charset val="1"/>
    </font>
    <font>
      <b/>
      <sz val="9"/>
      <color indexed="81"/>
      <name val="Tahoma"/>
      <charset val="1"/>
    </font>
  </fonts>
  <fills count="38">
    <fill>
      <patternFill patternType="none"/>
    </fill>
    <fill>
      <patternFill patternType="gray125"/>
    </fill>
    <fill>
      <patternFill patternType="solid">
        <fgColor theme="4"/>
        <bgColor indexed="64"/>
      </patternFill>
    </fill>
    <fill>
      <patternFill patternType="solid">
        <fgColor theme="2"/>
        <bgColor indexed="64"/>
      </patternFill>
    </fill>
    <fill>
      <patternFill patternType="solid">
        <fgColor theme="8" tint="0.79998168889431442"/>
        <bgColor indexed="64"/>
      </patternFill>
    </fill>
    <fill>
      <patternFill patternType="solid">
        <fgColor theme="9" tint="-9.9978637043366805E-2"/>
        <bgColor indexed="64"/>
      </patternFill>
    </fill>
    <fill>
      <patternFill patternType="solid">
        <fgColor theme="9"/>
        <bgColor indexed="64"/>
      </patternFill>
    </fill>
    <fill>
      <patternFill patternType="solid">
        <fgColor theme="0"/>
        <bgColor indexed="64"/>
      </patternFill>
    </fill>
    <fill>
      <patternFill patternType="solid">
        <fgColor theme="7" tint="0.59999389629810485"/>
        <bgColor indexed="64"/>
      </patternFill>
    </fill>
    <fill>
      <patternFill patternType="solid">
        <fgColor theme="5"/>
        <bgColor indexed="64"/>
      </patternFill>
    </fill>
    <fill>
      <patternFill patternType="solid">
        <fgColor theme="7" tint="-0.249977111117893"/>
        <bgColor indexed="64"/>
      </patternFill>
    </fill>
    <fill>
      <patternFill patternType="solid">
        <fgColor theme="7"/>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bgColor indexed="64"/>
      </patternFill>
    </fill>
    <fill>
      <patternFill patternType="solid">
        <fgColor theme="9" tint="-0.49998474074526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3"/>
        <bgColor indexed="64"/>
      </patternFill>
    </fill>
    <fill>
      <patternFill patternType="solid">
        <fgColor rgb="FFA6A6A6"/>
        <bgColor indexed="64"/>
      </patternFill>
    </fill>
    <fill>
      <patternFill patternType="solid">
        <fgColor rgb="FFDDEEE5"/>
        <bgColor indexed="64"/>
      </patternFill>
    </fill>
    <fill>
      <patternFill patternType="solid">
        <fgColor rgb="FF99CCB2"/>
        <bgColor indexed="64"/>
      </patternFill>
    </fill>
    <fill>
      <patternFill patternType="solid">
        <fgColor rgb="FFB3E1FF"/>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rgb="FF63C0C0"/>
        <bgColor indexed="64"/>
      </patternFill>
    </fill>
    <fill>
      <patternFill patternType="lightDown">
        <fgColor theme="9" tint="-9.9948118533890809E-2"/>
        <bgColor theme="0"/>
      </patternFill>
    </fill>
    <fill>
      <patternFill patternType="solid">
        <fgColor rgb="FFFFFFFF"/>
        <bgColor rgb="FFFFFFFF"/>
      </patternFill>
    </fill>
    <fill>
      <patternFill patternType="solid">
        <fgColor theme="0" tint="-0.249977111117893"/>
        <bgColor indexed="64"/>
      </patternFill>
    </fill>
    <fill>
      <patternFill patternType="solid">
        <fgColor theme="0" tint="-0.14999847407452621"/>
        <bgColor indexed="64"/>
      </patternFill>
    </fill>
    <fill>
      <patternFill patternType="solid">
        <fgColor theme="6" tint="0.39997558519241921"/>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style="thin">
        <color indexed="64"/>
      </bottom>
      <diagonal/>
    </border>
    <border>
      <left style="thin">
        <color theme="9" tint="-0.249977111117893"/>
      </left>
      <right style="thin">
        <color theme="9" tint="-0.249977111117893"/>
      </right>
      <top style="thin">
        <color indexed="64"/>
      </top>
      <bottom style="thin">
        <color indexed="64"/>
      </bottom>
      <diagonal/>
    </border>
    <border>
      <left style="thin">
        <color theme="9" tint="-0.249977111117893"/>
      </left>
      <right style="thin">
        <color theme="9" tint="-0.249977111117893"/>
      </right>
      <top style="thin">
        <color indexed="64"/>
      </top>
      <bottom style="thin">
        <color theme="9" tint="-0.249977111117893"/>
      </bottom>
      <diagonal/>
    </border>
    <border>
      <left style="thin">
        <color theme="9" tint="-0.249977111117893"/>
      </left>
      <right/>
      <top style="thin">
        <color theme="9" tint="-0.249977111117893"/>
      </top>
      <bottom style="thin">
        <color indexed="64"/>
      </bottom>
      <diagonal/>
    </border>
    <border>
      <left style="thin">
        <color theme="9" tint="-0.249977111117893"/>
      </left>
      <right/>
      <top style="thin">
        <color indexed="64"/>
      </top>
      <bottom style="thin">
        <color indexed="64"/>
      </bottom>
      <diagonal/>
    </border>
    <border>
      <left style="thin">
        <color theme="9" tint="-0.249977111117893"/>
      </left>
      <right/>
      <top style="thin">
        <color indexed="64"/>
      </top>
      <bottom style="thin">
        <color theme="9" tint="-0.249977111117893"/>
      </bottom>
      <diagonal/>
    </border>
    <border>
      <left/>
      <right/>
      <top/>
      <bottom style="thin">
        <color indexed="64"/>
      </bottom>
      <diagonal/>
    </border>
    <border>
      <left/>
      <right style="thin">
        <color theme="9" tint="-0.249977111117893"/>
      </right>
      <top/>
      <bottom/>
      <diagonal/>
    </border>
    <border>
      <left style="thin">
        <color theme="2" tint="-0.249977111117893"/>
      </left>
      <right style="thin">
        <color indexed="64"/>
      </right>
      <top style="thin">
        <color theme="2" tint="-0.249977111117893"/>
      </top>
      <bottom style="thin">
        <color indexed="64"/>
      </bottom>
      <diagonal/>
    </border>
    <border>
      <left style="thin">
        <color theme="2" tint="-0.249977111117893"/>
      </left>
      <right style="thin">
        <color indexed="64"/>
      </right>
      <top style="thin">
        <color indexed="64"/>
      </top>
      <bottom style="thin">
        <color indexed="64"/>
      </bottom>
      <diagonal/>
    </border>
    <border>
      <left style="thin">
        <color theme="2" tint="-0.249977111117893"/>
      </left>
      <right style="thin">
        <color indexed="64"/>
      </right>
      <top style="thin">
        <color indexed="64"/>
      </top>
      <bottom style="thin">
        <color theme="2" tint="-0.249977111117893"/>
      </bottom>
      <diagonal/>
    </border>
    <border>
      <left style="thin">
        <color theme="9" tint="-0.249977111117893"/>
      </left>
      <right/>
      <top style="thin">
        <color theme="9" tint="-0.249977111117893"/>
      </top>
      <bottom/>
      <diagonal/>
    </border>
    <border>
      <left style="thin">
        <color theme="9" tint="-0.249977111117893"/>
      </left>
      <right/>
      <top/>
      <bottom/>
      <diagonal/>
    </border>
    <border>
      <left style="thin">
        <color theme="9" tint="-0.249977111117893"/>
      </left>
      <right/>
      <top/>
      <bottom style="thin">
        <color theme="9" tint="-0.249977111117893"/>
      </bottom>
      <diagonal/>
    </border>
    <border>
      <left style="thin">
        <color theme="6"/>
      </left>
      <right style="thin">
        <color theme="6"/>
      </right>
      <top style="thin">
        <color theme="6"/>
      </top>
      <bottom style="thin">
        <color theme="6"/>
      </bottom>
      <diagonal/>
    </border>
    <border>
      <left style="thin">
        <color theme="9" tint="-0.249977111117893"/>
      </left>
      <right/>
      <top/>
      <bottom style="thin">
        <color indexed="64"/>
      </bottom>
      <diagonal/>
    </border>
    <border>
      <left style="thin">
        <color indexed="64"/>
      </left>
      <right style="thin">
        <color indexed="64"/>
      </right>
      <top/>
      <bottom/>
      <diagonal/>
    </border>
    <border>
      <left style="thin">
        <color indexed="18"/>
      </left>
      <right/>
      <top style="thin">
        <color indexed="18"/>
      </top>
      <bottom/>
      <diagonal/>
    </border>
    <border>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style="thin">
        <color indexed="1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18"/>
      </left>
      <right style="thin">
        <color indexed="18"/>
      </right>
      <top style="thin">
        <color auto="1"/>
      </top>
      <bottom style="thin">
        <color indexed="18"/>
      </bottom>
      <diagonal/>
    </border>
    <border>
      <left style="thin">
        <color indexed="18"/>
      </left>
      <right style="thin">
        <color auto="1"/>
      </right>
      <top style="thin">
        <color auto="1"/>
      </top>
      <bottom style="thin">
        <color indexed="18"/>
      </bottom>
      <diagonal/>
    </border>
    <border>
      <left style="thin">
        <color auto="1"/>
      </left>
      <right style="thin">
        <color auto="1"/>
      </right>
      <top style="thin">
        <color auto="1"/>
      </top>
      <bottom style="thin">
        <color indexed="18"/>
      </bottom>
      <diagonal/>
    </border>
    <border>
      <left style="thin">
        <color indexed="18"/>
      </left>
      <right style="thin">
        <color auto="1"/>
      </right>
      <top style="thin">
        <color indexed="18"/>
      </top>
      <bottom style="thin">
        <color indexed="18"/>
      </bottom>
      <diagonal/>
    </border>
    <border>
      <left style="thin">
        <color auto="1"/>
      </left>
      <right style="thin">
        <color auto="1"/>
      </right>
      <top style="thin">
        <color indexed="18"/>
      </top>
      <bottom style="thin">
        <color indexed="18"/>
      </bottom>
      <diagonal/>
    </border>
    <border>
      <left style="thin">
        <color indexed="18"/>
      </left>
      <right style="thin">
        <color indexed="18"/>
      </right>
      <top style="thin">
        <color indexed="18"/>
      </top>
      <bottom style="thin">
        <color auto="1"/>
      </bottom>
      <diagonal/>
    </border>
    <border>
      <left style="thin">
        <color indexed="18"/>
      </left>
      <right style="thin">
        <color auto="1"/>
      </right>
      <top style="thin">
        <color indexed="18"/>
      </top>
      <bottom style="thin">
        <color auto="1"/>
      </bottom>
      <diagonal/>
    </border>
    <border>
      <left style="thin">
        <color auto="1"/>
      </left>
      <right style="thin">
        <color auto="1"/>
      </right>
      <top style="thin">
        <color indexed="18"/>
      </top>
      <bottom style="thin">
        <color auto="1"/>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rgb="FF000000"/>
      </left>
      <right/>
      <top/>
      <bottom/>
      <diagonal/>
    </border>
    <border>
      <left style="medium">
        <color indexed="64"/>
      </left>
      <right/>
      <top/>
      <bottom style="medium">
        <color rgb="FF000000"/>
      </bottom>
      <diagonal/>
    </border>
    <border>
      <left/>
      <right/>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style="medium">
        <color indexed="64"/>
      </left>
      <right style="medium">
        <color indexed="64"/>
      </right>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auto="1"/>
      </left>
      <right/>
      <top style="thin">
        <color auto="1"/>
      </top>
      <bottom/>
      <diagonal/>
    </border>
    <border>
      <left/>
      <right style="thin">
        <color indexed="64"/>
      </right>
      <top style="thin">
        <color indexed="64"/>
      </top>
      <bottom/>
      <diagonal/>
    </border>
    <border>
      <left style="thin">
        <color theme="0"/>
      </left>
      <right/>
      <top style="thin">
        <color theme="0"/>
      </top>
      <bottom/>
      <diagonal/>
    </border>
  </borders>
  <cellStyleXfs count="17">
    <xf numFmtId="0" fontId="0" fillId="0" borderId="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43" fontId="1" fillId="0" borderId="0" applyFont="0" applyFill="0" applyBorder="0" applyAlignment="0" applyProtection="0"/>
    <xf numFmtId="175" fontId="44" fillId="0" borderId="0"/>
    <xf numFmtId="42" fontId="1" fillId="0" borderId="0" applyFont="0" applyFill="0" applyBorder="0" applyAlignment="0" applyProtection="0"/>
    <xf numFmtId="0" fontId="52" fillId="0" borderId="0"/>
    <xf numFmtId="0" fontId="1" fillId="0" borderId="0"/>
    <xf numFmtId="43" fontId="87" fillId="0" borderId="0" applyFont="0" applyFill="0" applyBorder="0" applyAlignment="0" applyProtection="0"/>
    <xf numFmtId="44" fontId="87" fillId="0" borderId="0" applyFont="0" applyFill="0" applyBorder="0" applyAlignment="0" applyProtection="0"/>
    <xf numFmtId="0" fontId="87" fillId="0" borderId="0"/>
    <xf numFmtId="0" fontId="88" fillId="0" borderId="0"/>
    <xf numFmtId="0" fontId="88" fillId="0" borderId="0"/>
    <xf numFmtId="0" fontId="1" fillId="0" borderId="0"/>
    <xf numFmtId="9" fontId="87" fillId="0" borderId="0" applyFont="0" applyFill="0" applyBorder="0" applyAlignment="0" applyProtection="0"/>
    <xf numFmtId="9" fontId="88" fillId="0" borderId="0" applyFont="0" applyFill="0" applyBorder="0" applyAlignment="0" applyProtection="0"/>
  </cellStyleXfs>
  <cellXfs count="1468">
    <xf numFmtId="0" fontId="0" fillId="0" borderId="0" xfId="0"/>
    <xf numFmtId="0" fontId="5" fillId="2" borderId="3" xfId="0" applyFont="1" applyFill="1" applyBorder="1"/>
    <xf numFmtId="0" fontId="0" fillId="6" borderId="3" xfId="0" applyFill="1" applyBorder="1"/>
    <xf numFmtId="0" fontId="6" fillId="2" borderId="2" xfId="0" applyFont="1" applyFill="1" applyBorder="1"/>
    <xf numFmtId="0" fontId="7" fillId="6" borderId="2" xfId="0" applyFont="1" applyFill="1" applyBorder="1"/>
    <xf numFmtId="0" fontId="0" fillId="7" borderId="0" xfId="0" applyFill="1"/>
    <xf numFmtId="0" fontId="8" fillId="7" borderId="0" xfId="0" applyFont="1" applyFill="1"/>
    <xf numFmtId="0" fontId="10" fillId="7" borderId="0" xfId="3" applyFill="1"/>
    <xf numFmtId="0" fontId="0" fillId="10" borderId="1" xfId="1" applyNumberFormat="1" applyFont="1" applyFill="1" applyBorder="1" applyProtection="1">
      <protection locked="0"/>
    </xf>
    <xf numFmtId="0" fontId="4" fillId="7" borderId="0" xfId="0" applyFont="1" applyFill="1"/>
    <xf numFmtId="0" fontId="0" fillId="5" borderId="1" xfId="0" applyFill="1" applyBorder="1"/>
    <xf numFmtId="0" fontId="2" fillId="9" borderId="1" xfId="0" applyFont="1" applyFill="1" applyBorder="1"/>
    <xf numFmtId="0" fontId="2" fillId="9" borderId="2" xfId="0" applyFont="1" applyFill="1" applyBorder="1" applyAlignment="1">
      <alignment horizontal="left"/>
    </xf>
    <xf numFmtId="0" fontId="2" fillId="9" borderId="1" xfId="0" applyFont="1" applyFill="1" applyBorder="1" applyAlignment="1">
      <alignment horizontal="right"/>
    </xf>
    <xf numFmtId="0" fontId="0" fillId="7" borderId="0" xfId="0" quotePrefix="1" applyFill="1" applyAlignment="1">
      <alignment wrapText="1"/>
    </xf>
    <xf numFmtId="0" fontId="12" fillId="7" borderId="0" xfId="0" applyFont="1" applyFill="1" applyAlignment="1">
      <alignment vertical="center"/>
    </xf>
    <xf numFmtId="0" fontId="2" fillId="9" borderId="1" xfId="0" applyFont="1" applyFill="1" applyBorder="1" applyAlignment="1">
      <alignment horizontal="center"/>
    </xf>
    <xf numFmtId="0" fontId="0" fillId="5" borderId="1" xfId="0" applyFill="1" applyBorder="1" applyAlignment="1">
      <alignment horizontal="center"/>
    </xf>
    <xf numFmtId="9" fontId="0" fillId="5" borderId="1" xfId="2" applyFont="1" applyFill="1" applyBorder="1" applyAlignment="1">
      <alignment horizontal="center"/>
    </xf>
    <xf numFmtId="0" fontId="5" fillId="7" borderId="0" xfId="0" applyFont="1" applyFill="1" applyAlignment="1">
      <alignment horizontal="left" wrapText="1"/>
    </xf>
    <xf numFmtId="0" fontId="5" fillId="7" borderId="0" xfId="0" applyFont="1" applyFill="1"/>
    <xf numFmtId="0" fontId="0" fillId="7" borderId="0" xfId="0" applyFill="1" applyAlignment="1">
      <alignment wrapText="1"/>
    </xf>
    <xf numFmtId="0" fontId="0" fillId="7" borderId="0" xfId="0" applyFill="1" applyAlignment="1">
      <alignment horizontal="center" wrapText="1"/>
    </xf>
    <xf numFmtId="0" fontId="2" fillId="9" borderId="1" xfId="0" applyFont="1" applyFill="1" applyBorder="1" applyAlignment="1">
      <alignment horizontal="center" wrapText="1"/>
    </xf>
    <xf numFmtId="0" fontId="0" fillId="7" borderId="0" xfId="0" applyFill="1" applyAlignment="1">
      <alignment horizontal="left" wrapText="1"/>
    </xf>
    <xf numFmtId="0" fontId="2" fillId="9" borderId="1" xfId="0" applyFont="1" applyFill="1" applyBorder="1" applyAlignment="1">
      <alignment horizontal="left"/>
    </xf>
    <xf numFmtId="0" fontId="4" fillId="7" borderId="0" xfId="0" applyFont="1" applyFill="1" applyAlignment="1">
      <alignment wrapText="1"/>
    </xf>
    <xf numFmtId="0" fontId="7" fillId="7" borderId="0" xfId="0" applyFont="1" applyFill="1"/>
    <xf numFmtId="0" fontId="5" fillId="5" borderId="1" xfId="0" applyFont="1" applyFill="1" applyBorder="1" applyAlignment="1">
      <alignment horizontal="left"/>
    </xf>
    <xf numFmtId="9" fontId="0" fillId="5" borderId="1" xfId="2" applyFont="1" applyFill="1" applyBorder="1"/>
    <xf numFmtId="44" fontId="0" fillId="5" borderId="1" xfId="1" applyFont="1" applyFill="1" applyBorder="1"/>
    <xf numFmtId="0" fontId="0" fillId="5" borderId="1" xfId="1" applyNumberFormat="1" applyFont="1" applyFill="1" applyBorder="1"/>
    <xf numFmtId="44" fontId="0" fillId="5" borderId="1" xfId="0" applyNumberFormat="1" applyFill="1" applyBorder="1"/>
    <xf numFmtId="0" fontId="2" fillId="9" borderId="2" xfId="0" applyFont="1" applyFill="1" applyBorder="1"/>
    <xf numFmtId="0" fontId="0" fillId="9" borderId="3" xfId="0" applyFill="1" applyBorder="1" applyAlignment="1">
      <alignment horizontal="left"/>
    </xf>
    <xf numFmtId="0" fontId="0" fillId="5" borderId="1" xfId="1" applyNumberFormat="1" applyFont="1" applyFill="1" applyBorder="1" applyAlignment="1">
      <alignment horizontal="center"/>
    </xf>
    <xf numFmtId="9" fontId="0" fillId="10" borderId="1" xfId="2" applyFont="1" applyFill="1" applyBorder="1" applyProtection="1">
      <protection locked="0"/>
    </xf>
    <xf numFmtId="0" fontId="0" fillId="7" borderId="0" xfId="0" applyFill="1" applyAlignment="1">
      <alignment horizontal="right"/>
    </xf>
    <xf numFmtId="0" fontId="14" fillId="6" borderId="3" xfId="0" applyFont="1" applyFill="1" applyBorder="1" applyAlignment="1">
      <alignment horizontal="left"/>
    </xf>
    <xf numFmtId="0" fontId="14" fillId="6" borderId="3" xfId="0" applyFont="1" applyFill="1" applyBorder="1"/>
    <xf numFmtId="0" fontId="3" fillId="7" borderId="0" xfId="0" applyFont="1" applyFill="1" applyAlignment="1">
      <alignment horizontal="right"/>
    </xf>
    <xf numFmtId="0" fontId="13" fillId="5" borderId="1" xfId="0" applyFont="1" applyFill="1" applyBorder="1" applyAlignment="1">
      <alignment horizontal="left"/>
    </xf>
    <xf numFmtId="44" fontId="13" fillId="5" borderId="1" xfId="1" applyFont="1" applyFill="1" applyBorder="1" applyAlignment="1">
      <alignment horizontal="center"/>
    </xf>
    <xf numFmtId="44" fontId="0" fillId="5" borderId="1" xfId="1" applyFont="1" applyFill="1" applyBorder="1" applyAlignment="1">
      <alignment horizontal="center"/>
    </xf>
    <xf numFmtId="44" fontId="0" fillId="7" borderId="0" xfId="1" applyFont="1" applyFill="1"/>
    <xf numFmtId="0" fontId="0" fillId="5" borderId="1" xfId="0" applyFill="1" applyBorder="1" applyAlignment="1">
      <alignment horizontal="right"/>
    </xf>
    <xf numFmtId="0" fontId="2" fillId="9" borderId="32" xfId="0" applyFont="1" applyFill="1" applyBorder="1" applyAlignment="1">
      <alignment horizontal="center" wrapText="1"/>
    </xf>
    <xf numFmtId="0" fontId="15" fillId="7" borderId="0" xfId="0" applyFont="1" applyFill="1"/>
    <xf numFmtId="0" fontId="4" fillId="7" borderId="0" xfId="0" applyFont="1" applyFill="1" applyAlignment="1">
      <alignment horizontal="left" vertical="top" wrapText="1"/>
    </xf>
    <xf numFmtId="0" fontId="4" fillId="7" borderId="0" xfId="0" applyFont="1" applyFill="1" applyAlignment="1">
      <alignment horizontal="left" wrapText="1"/>
    </xf>
    <xf numFmtId="44" fontId="0" fillId="5" borderId="1" xfId="1" applyFont="1" applyFill="1" applyBorder="1" applyAlignment="1">
      <alignment horizontal="right"/>
    </xf>
    <xf numFmtId="10" fontId="0" fillId="5" borderId="1" xfId="2" applyNumberFormat="1" applyFont="1" applyFill="1" applyBorder="1"/>
    <xf numFmtId="10" fontId="0" fillId="5" borderId="1" xfId="0" applyNumberFormat="1" applyFill="1" applyBorder="1"/>
    <xf numFmtId="0" fontId="0" fillId="7" borderId="0" xfId="0" applyFill="1" applyAlignment="1">
      <alignment horizontal="left"/>
    </xf>
    <xf numFmtId="167" fontId="0" fillId="8" borderId="1" xfId="1" applyNumberFormat="1" applyFont="1" applyFill="1" applyBorder="1" applyAlignment="1" applyProtection="1">
      <alignment horizontal="left"/>
      <protection locked="0"/>
    </xf>
    <xf numFmtId="0" fontId="0" fillId="8" borderId="1" xfId="2" applyNumberFormat="1" applyFont="1" applyFill="1" applyBorder="1" applyProtection="1">
      <protection locked="0"/>
    </xf>
    <xf numFmtId="0" fontId="14" fillId="7" borderId="0" xfId="0" applyFont="1" applyFill="1"/>
    <xf numFmtId="0" fontId="2" fillId="9" borderId="1" xfId="0" applyFont="1" applyFill="1" applyBorder="1" applyAlignment="1">
      <alignment horizontal="center" vertical="center" wrapText="1"/>
    </xf>
    <xf numFmtId="0" fontId="14" fillId="0" borderId="0" xfId="0" applyFont="1" applyAlignment="1">
      <alignment horizontal="left"/>
    </xf>
    <xf numFmtId="0" fontId="4" fillId="7" borderId="0" xfId="0" applyFont="1" applyFill="1" applyAlignment="1">
      <alignment vertical="top" wrapText="1"/>
    </xf>
    <xf numFmtId="44" fontId="0" fillId="5" borderId="4" xfId="1" applyFont="1" applyFill="1" applyBorder="1"/>
    <xf numFmtId="9" fontId="0" fillId="5" borderId="1" xfId="0" applyNumberFormat="1" applyFill="1" applyBorder="1" applyAlignment="1">
      <alignment horizontal="center"/>
    </xf>
    <xf numFmtId="0" fontId="0" fillId="7" borderId="0" xfId="0" applyFill="1" applyAlignment="1">
      <alignment horizontal="center" vertical="center" wrapText="1"/>
    </xf>
    <xf numFmtId="0" fontId="0" fillId="9" borderId="2" xfId="0" applyFill="1" applyBorder="1"/>
    <xf numFmtId="0" fontId="0" fillId="9" borderId="3" xfId="0" applyFill="1" applyBorder="1"/>
    <xf numFmtId="44" fontId="0" fillId="9" borderId="3" xfId="1" applyFont="1" applyFill="1" applyBorder="1"/>
    <xf numFmtId="0" fontId="2" fillId="2" borderId="2" xfId="0" applyFont="1" applyFill="1" applyBorder="1"/>
    <xf numFmtId="0" fontId="2" fillId="2" borderId="3" xfId="0" applyFont="1" applyFill="1" applyBorder="1"/>
    <xf numFmtId="44" fontId="2" fillId="2" borderId="4" xfId="0" applyNumberFormat="1" applyFont="1" applyFill="1" applyBorder="1" applyAlignment="1">
      <alignment horizontal="left"/>
    </xf>
    <xf numFmtId="44" fontId="2" fillId="2" borderId="4" xfId="0" applyNumberFormat="1" applyFont="1" applyFill="1" applyBorder="1"/>
    <xf numFmtId="0" fontId="0" fillId="20" borderId="5" xfId="0" applyFill="1" applyBorder="1"/>
    <xf numFmtId="0" fontId="0" fillId="20" borderId="5" xfId="0" applyFill="1" applyBorder="1" applyAlignment="1">
      <alignment horizontal="left"/>
    </xf>
    <xf numFmtId="0" fontId="0" fillId="20" borderId="0" xfId="0" applyFill="1"/>
    <xf numFmtId="0" fontId="0" fillId="20" borderId="0" xfId="0" applyFill="1" applyAlignment="1">
      <alignment horizontal="left"/>
    </xf>
    <xf numFmtId="0" fontId="0" fillId="20" borderId="29" xfId="0" applyFill="1" applyBorder="1"/>
    <xf numFmtId="0" fontId="0" fillId="20" borderId="30" xfId="0" applyFill="1" applyBorder="1"/>
    <xf numFmtId="0" fontId="0" fillId="20" borderId="40" xfId="0" applyFill="1" applyBorder="1"/>
    <xf numFmtId="0" fontId="0" fillId="20" borderId="31" xfId="0" applyFill="1" applyBorder="1"/>
    <xf numFmtId="0" fontId="0" fillId="20" borderId="14" xfId="0" applyFill="1" applyBorder="1" applyAlignment="1">
      <alignment horizontal="left"/>
    </xf>
    <xf numFmtId="0" fontId="0" fillId="20" borderId="28" xfId="0" applyFill="1" applyBorder="1" applyAlignment="1">
      <alignment horizontal="left"/>
    </xf>
    <xf numFmtId="0" fontId="0" fillId="20" borderId="18" xfId="0" applyFill="1" applyBorder="1" applyAlignment="1">
      <alignment horizontal="left"/>
    </xf>
    <xf numFmtId="0" fontId="0" fillId="20" borderId="29" xfId="0" applyFill="1" applyBorder="1" applyAlignment="1">
      <alignment horizontal="left"/>
    </xf>
    <xf numFmtId="0" fontId="0" fillId="20" borderId="30" xfId="0" applyFill="1" applyBorder="1" applyAlignment="1">
      <alignment horizontal="left"/>
    </xf>
    <xf numFmtId="0" fontId="0" fillId="20" borderId="40" xfId="0" applyFill="1" applyBorder="1" applyAlignment="1">
      <alignment horizontal="left"/>
    </xf>
    <xf numFmtId="0" fontId="0" fillId="20" borderId="31" xfId="0" applyFill="1" applyBorder="1" applyAlignment="1">
      <alignment horizontal="left"/>
    </xf>
    <xf numFmtId="0" fontId="0" fillId="20" borderId="2" xfId="0" applyFill="1" applyBorder="1"/>
    <xf numFmtId="0" fontId="0" fillId="20" borderId="3" xfId="0" applyFill="1" applyBorder="1"/>
    <xf numFmtId="44" fontId="0" fillId="20" borderId="4" xfId="0" applyNumberFormat="1" applyFill="1" applyBorder="1"/>
    <xf numFmtId="0" fontId="0" fillId="20" borderId="2" xfId="0" applyFill="1" applyBorder="1" applyAlignment="1">
      <alignment horizontal="left"/>
    </xf>
    <xf numFmtId="0" fontId="0" fillId="20" borderId="3" xfId="0" applyFill="1" applyBorder="1" applyAlignment="1">
      <alignment horizontal="left"/>
    </xf>
    <xf numFmtId="44" fontId="0" fillId="20" borderId="4" xfId="0" applyNumberFormat="1" applyFill="1" applyBorder="1" applyAlignment="1">
      <alignment horizontal="left"/>
    </xf>
    <xf numFmtId="0" fontId="3" fillId="20" borderId="4" xfId="0" applyFont="1" applyFill="1" applyBorder="1" applyAlignment="1">
      <alignment horizontal="right"/>
    </xf>
    <xf numFmtId="0" fontId="20" fillId="7" borderId="0" xfId="0" applyFont="1" applyFill="1"/>
    <xf numFmtId="0" fontId="0" fillId="7" borderId="0" xfId="0" applyFill="1" applyAlignment="1">
      <alignment vertical="top" wrapText="1"/>
    </xf>
    <xf numFmtId="0" fontId="6" fillId="2" borderId="2" xfId="0" applyFont="1" applyFill="1" applyBorder="1" applyAlignment="1">
      <alignment horizontal="right"/>
    </xf>
    <xf numFmtId="0" fontId="7" fillId="6" borderId="2" xfId="0" applyFont="1" applyFill="1" applyBorder="1" applyAlignment="1">
      <alignment horizontal="right"/>
    </xf>
    <xf numFmtId="0" fontId="14" fillId="7" borderId="0" xfId="0" applyFont="1" applyFill="1" applyAlignment="1">
      <alignment horizontal="left"/>
    </xf>
    <xf numFmtId="0" fontId="25" fillId="7" borderId="0" xfId="0" applyFont="1" applyFill="1"/>
    <xf numFmtId="0" fontId="8" fillId="7" borderId="0" xfId="0" applyFont="1" applyFill="1" applyAlignment="1">
      <alignment horizontal="left"/>
    </xf>
    <xf numFmtId="0" fontId="8" fillId="7" borderId="0" xfId="0" applyFont="1" applyFill="1" applyAlignment="1">
      <alignment horizontal="left" wrapText="1"/>
    </xf>
    <xf numFmtId="0" fontId="25" fillId="7" borderId="0" xfId="0" applyFont="1" applyFill="1" applyAlignment="1">
      <alignment horizontal="left"/>
    </xf>
    <xf numFmtId="0" fontId="0" fillId="7" borderId="0" xfId="0" applyFill="1" applyAlignment="1">
      <alignment vertical="top"/>
    </xf>
    <xf numFmtId="44" fontId="2" fillId="9" borderId="1" xfId="1" applyFont="1" applyFill="1" applyBorder="1" applyAlignment="1">
      <alignment horizontal="right"/>
    </xf>
    <xf numFmtId="0" fontId="25" fillId="7" borderId="0" xfId="0" applyFont="1" applyFill="1" applyAlignment="1">
      <alignment wrapText="1"/>
    </xf>
    <xf numFmtId="0" fontId="0" fillId="24" borderId="1" xfId="0" applyFill="1" applyBorder="1"/>
    <xf numFmtId="9" fontId="0" fillId="24" borderId="1" xfId="0" applyNumberFormat="1" applyFill="1" applyBorder="1"/>
    <xf numFmtId="0" fontId="4" fillId="25" borderId="5" xfId="0" applyFont="1" applyFill="1" applyBorder="1" applyAlignment="1">
      <alignment wrapText="1"/>
    </xf>
    <xf numFmtId="0" fontId="0" fillId="25" borderId="28" xfId="0" applyFill="1" applyBorder="1"/>
    <xf numFmtId="0" fontId="0" fillId="25" borderId="5" xfId="0" applyFill="1" applyBorder="1" applyAlignment="1">
      <alignment horizontal="right"/>
    </xf>
    <xf numFmtId="0" fontId="0" fillId="25" borderId="5" xfId="0" applyFill="1" applyBorder="1"/>
    <xf numFmtId="0" fontId="4" fillId="25" borderId="0" xfId="0" applyFont="1" applyFill="1" applyAlignment="1">
      <alignment wrapText="1"/>
    </xf>
    <xf numFmtId="0" fontId="13" fillId="6" borderId="14" xfId="0" applyFont="1" applyFill="1" applyBorder="1"/>
    <xf numFmtId="0" fontId="5" fillId="6" borderId="5" xfId="0" applyFont="1" applyFill="1" applyBorder="1"/>
    <xf numFmtId="0" fontId="5" fillId="6" borderId="5" xfId="0" applyFont="1" applyFill="1" applyBorder="1" applyAlignment="1">
      <alignment wrapText="1"/>
    </xf>
    <xf numFmtId="0" fontId="4" fillId="6" borderId="5" xfId="0" applyFont="1" applyFill="1" applyBorder="1" applyAlignment="1">
      <alignment wrapText="1"/>
    </xf>
    <xf numFmtId="0" fontId="0" fillId="6" borderId="28" xfId="0" applyFill="1" applyBorder="1"/>
    <xf numFmtId="0" fontId="3" fillId="6" borderId="30" xfId="0" applyFont="1" applyFill="1" applyBorder="1"/>
    <xf numFmtId="0" fontId="0" fillId="6" borderId="40" xfId="0" applyFill="1" applyBorder="1"/>
    <xf numFmtId="0" fontId="4" fillId="6" borderId="40" xfId="0" applyFont="1" applyFill="1" applyBorder="1" applyAlignment="1">
      <alignment wrapText="1"/>
    </xf>
    <xf numFmtId="0" fontId="0" fillId="6" borderId="31" xfId="0" applyFill="1" applyBorder="1"/>
    <xf numFmtId="0" fontId="13" fillId="6" borderId="18" xfId="0" applyFont="1" applyFill="1" applyBorder="1"/>
    <xf numFmtId="0" fontId="5" fillId="6" borderId="0" xfId="0" applyFont="1" applyFill="1"/>
    <xf numFmtId="0" fontId="4" fillId="6" borderId="0" xfId="0" applyFont="1" applyFill="1" applyAlignment="1">
      <alignment wrapText="1"/>
    </xf>
    <xf numFmtId="0" fontId="0" fillId="6" borderId="29" xfId="0" applyFill="1" applyBorder="1"/>
    <xf numFmtId="0" fontId="3" fillId="6" borderId="14" xfId="0" applyFont="1" applyFill="1" applyBorder="1"/>
    <xf numFmtId="0" fontId="0" fillId="6" borderId="5" xfId="0" applyFill="1" applyBorder="1"/>
    <xf numFmtId="0" fontId="0" fillId="6" borderId="0" xfId="0" applyFill="1"/>
    <xf numFmtId="0" fontId="5" fillId="6" borderId="0" xfId="0" applyFont="1" applyFill="1" applyAlignment="1">
      <alignment wrapText="1"/>
    </xf>
    <xf numFmtId="0" fontId="28" fillId="25" borderId="20" xfId="0" applyFont="1" applyFill="1" applyBorder="1"/>
    <xf numFmtId="10" fontId="0" fillId="24" borderId="1" xfId="2" applyNumberFormat="1" applyFont="1" applyFill="1" applyBorder="1"/>
    <xf numFmtId="0" fontId="0" fillId="24" borderId="1" xfId="2" applyNumberFormat="1" applyFont="1" applyFill="1" applyBorder="1"/>
    <xf numFmtId="0" fontId="23" fillId="5" borderId="2" xfId="0" applyFont="1" applyFill="1" applyBorder="1" applyAlignment="1">
      <alignment horizontal="left"/>
    </xf>
    <xf numFmtId="0" fontId="23" fillId="5" borderId="3" xfId="0" applyFont="1" applyFill="1" applyBorder="1" applyAlignment="1">
      <alignment horizontal="left"/>
    </xf>
    <xf numFmtId="0" fontId="23" fillId="5" borderId="4" xfId="0" applyFont="1" applyFill="1" applyBorder="1" applyAlignment="1">
      <alignment horizontal="left"/>
    </xf>
    <xf numFmtId="0" fontId="12" fillId="7" borderId="0" xfId="0" applyFont="1" applyFill="1" applyAlignment="1">
      <alignment horizontal="left"/>
    </xf>
    <xf numFmtId="0" fontId="25" fillId="7" borderId="0" xfId="0" applyFont="1" applyFill="1" applyAlignment="1">
      <alignment horizontal="center"/>
    </xf>
    <xf numFmtId="0" fontId="3" fillId="7" borderId="0" xfId="0" applyFont="1" applyFill="1"/>
    <xf numFmtId="0" fontId="0" fillId="10" borderId="1" xfId="1" applyNumberFormat="1" applyFont="1" applyFill="1" applyBorder="1" applyAlignment="1" applyProtection="1">
      <alignment horizontal="left"/>
      <protection locked="0"/>
    </xf>
    <xf numFmtId="10" fontId="0" fillId="8" borderId="1" xfId="2" applyNumberFormat="1" applyFont="1" applyFill="1" applyBorder="1" applyAlignment="1" applyProtection="1">
      <alignment horizontal="left"/>
      <protection locked="0"/>
    </xf>
    <xf numFmtId="9" fontId="0" fillId="8" borderId="1" xfId="2" applyFont="1" applyFill="1" applyBorder="1" applyAlignment="1" applyProtection="1">
      <alignment horizontal="left"/>
      <protection locked="0"/>
    </xf>
    <xf numFmtId="43" fontId="0" fillId="5" borderId="1" xfId="4" applyFont="1" applyFill="1" applyBorder="1"/>
    <xf numFmtId="9" fontId="0" fillId="8" borderId="1" xfId="2" applyFont="1" applyFill="1" applyBorder="1" applyProtection="1">
      <protection locked="0"/>
    </xf>
    <xf numFmtId="44" fontId="0" fillId="9" borderId="4" xfId="0" applyNumberFormat="1" applyFill="1" applyBorder="1"/>
    <xf numFmtId="0" fontId="0" fillId="9" borderId="4" xfId="0" applyFill="1" applyBorder="1"/>
    <xf numFmtId="168" fontId="0" fillId="5" borderId="1" xfId="4" applyNumberFormat="1" applyFont="1" applyFill="1" applyBorder="1"/>
    <xf numFmtId="0" fontId="0" fillId="13" borderId="1" xfId="0" applyFill="1" applyBorder="1" applyAlignment="1">
      <alignment horizontal="center" vertical="center" wrapText="1"/>
    </xf>
    <xf numFmtId="0" fontId="32" fillId="6" borderId="2" xfId="0" applyFont="1" applyFill="1" applyBorder="1"/>
    <xf numFmtId="0" fontId="5" fillId="7" borderId="0" xfId="0" applyFont="1" applyFill="1" applyAlignment="1">
      <alignment horizontal="right"/>
    </xf>
    <xf numFmtId="0" fontId="28" fillId="7" borderId="0" xfId="0" applyFont="1" applyFill="1"/>
    <xf numFmtId="0" fontId="14" fillId="7" borderId="0" xfId="0" applyFont="1" applyFill="1" applyAlignment="1">
      <alignment horizontal="center"/>
    </xf>
    <xf numFmtId="0" fontId="20" fillId="7" borderId="0" xfId="0" applyFont="1" applyFill="1" applyAlignment="1">
      <alignment horizontal="center"/>
    </xf>
    <xf numFmtId="0" fontId="0" fillId="5" borderId="2" xfId="0" applyFill="1" applyBorder="1"/>
    <xf numFmtId="0" fontId="0" fillId="5" borderId="3" xfId="0" applyFill="1" applyBorder="1"/>
    <xf numFmtId="0" fontId="0" fillId="5" borderId="4" xfId="0" applyFill="1" applyBorder="1"/>
    <xf numFmtId="0" fontId="23" fillId="5" borderId="2" xfId="0" applyFont="1" applyFill="1" applyBorder="1"/>
    <xf numFmtId="0" fontId="23" fillId="5" borderId="3" xfId="0" applyFont="1" applyFill="1" applyBorder="1"/>
    <xf numFmtId="0" fontId="23" fillId="5" borderId="4" xfId="0" applyFont="1" applyFill="1" applyBorder="1"/>
    <xf numFmtId="170" fontId="0" fillId="8" borderId="1" xfId="1" applyNumberFormat="1" applyFont="1" applyFill="1" applyBorder="1" applyAlignment="1" applyProtection="1">
      <alignment horizontal="left"/>
      <protection locked="0"/>
    </xf>
    <xf numFmtId="171" fontId="0" fillId="8" borderId="1" xfId="1" applyNumberFormat="1" applyFont="1" applyFill="1" applyBorder="1" applyAlignment="1" applyProtection="1">
      <alignment horizontal="left"/>
      <protection locked="0"/>
    </xf>
    <xf numFmtId="172" fontId="0" fillId="5" borderId="1" xfId="2" applyNumberFormat="1" applyFont="1" applyFill="1" applyBorder="1" applyAlignment="1">
      <alignment horizontal="center"/>
    </xf>
    <xf numFmtId="0" fontId="0" fillId="7" borderId="1" xfId="0" applyFill="1" applyBorder="1" applyAlignment="1">
      <alignment vertical="center" wrapText="1"/>
    </xf>
    <xf numFmtId="0" fontId="0" fillId="7" borderId="1" xfId="0" applyFill="1" applyBorder="1" applyAlignment="1">
      <alignment horizontal="left" vertical="center" wrapText="1"/>
    </xf>
    <xf numFmtId="0" fontId="35" fillId="7" borderId="0" xfId="0" applyFont="1" applyFill="1"/>
    <xf numFmtId="0" fontId="0" fillId="8" borderId="1" xfId="1" applyNumberFormat="1" applyFont="1" applyFill="1" applyBorder="1" applyAlignment="1" applyProtection="1">
      <alignment horizontal="left"/>
      <protection locked="0"/>
    </xf>
    <xf numFmtId="9" fontId="0" fillId="10" borderId="1" xfId="1" applyNumberFormat="1" applyFont="1" applyFill="1" applyBorder="1" applyAlignment="1" applyProtection="1">
      <alignment horizontal="left"/>
      <protection locked="0"/>
    </xf>
    <xf numFmtId="0" fontId="0" fillId="8" borderId="4" xfId="0" applyFill="1" applyBorder="1" applyAlignment="1" applyProtection="1">
      <alignment horizontal="left"/>
      <protection locked="0"/>
    </xf>
    <xf numFmtId="0" fontId="0" fillId="8" borderId="1" xfId="0" applyFill="1" applyBorder="1" applyAlignment="1" applyProtection="1">
      <alignment horizontal="left"/>
      <protection locked="0"/>
    </xf>
    <xf numFmtId="0" fontId="0" fillId="10" borderId="2" xfId="0" applyFill="1" applyBorder="1" applyAlignment="1" applyProtection="1">
      <alignment horizontal="left"/>
      <protection locked="0"/>
    </xf>
    <xf numFmtId="44" fontId="0" fillId="8" borderId="1" xfId="1" applyFont="1" applyFill="1" applyBorder="1" applyAlignment="1" applyProtection="1">
      <alignment horizontal="left"/>
      <protection locked="0"/>
    </xf>
    <xf numFmtId="0" fontId="0" fillId="10" borderId="1" xfId="0" applyFill="1" applyBorder="1" applyAlignment="1" applyProtection="1">
      <alignment horizontal="left"/>
      <protection locked="0"/>
    </xf>
    <xf numFmtId="14" fontId="0" fillId="8" borderId="1" xfId="0" applyNumberFormat="1" applyFill="1" applyBorder="1" applyAlignment="1" applyProtection="1">
      <alignment horizontal="center"/>
      <protection locked="0"/>
    </xf>
    <xf numFmtId="0" fontId="0" fillId="8" borderId="1" xfId="0" applyFill="1" applyBorder="1" applyProtection="1">
      <protection locked="0"/>
    </xf>
    <xf numFmtId="0" fontId="0" fillId="10" borderId="1" xfId="0" applyFill="1" applyBorder="1" applyAlignment="1" applyProtection="1">
      <alignment horizontal="center"/>
      <protection locked="0"/>
    </xf>
    <xf numFmtId="0" fontId="0" fillId="8" borderId="1" xfId="0" applyFill="1" applyBorder="1" applyAlignment="1" applyProtection="1">
      <alignment horizontal="center"/>
      <protection locked="0"/>
    </xf>
    <xf numFmtId="0" fontId="0" fillId="8" borderId="1" xfId="4" applyNumberFormat="1" applyFont="1" applyFill="1" applyBorder="1" applyAlignment="1" applyProtection="1">
      <alignment horizontal="center"/>
      <protection locked="0"/>
    </xf>
    <xf numFmtId="0" fontId="0" fillId="10" borderId="1" xfId="0" applyFill="1" applyBorder="1" applyAlignment="1" applyProtection="1">
      <alignment horizontal="center" vertical="center"/>
      <protection locked="0"/>
    </xf>
    <xf numFmtId="0" fontId="3" fillId="8" borderId="1" xfId="0" applyFont="1" applyFill="1" applyBorder="1" applyAlignment="1" applyProtection="1">
      <alignment horizontal="center"/>
      <protection locked="0"/>
    </xf>
    <xf numFmtId="43" fontId="0" fillId="8" borderId="1" xfId="4" applyFont="1" applyFill="1" applyBorder="1" applyAlignment="1" applyProtection="1">
      <alignment horizontal="center"/>
      <protection locked="0"/>
    </xf>
    <xf numFmtId="0" fontId="0" fillId="7" borderId="0" xfId="0" applyFill="1" applyAlignment="1" applyProtection="1">
      <alignment horizontal="right"/>
      <protection locked="0"/>
    </xf>
    <xf numFmtId="167" fontId="0" fillId="7" borderId="0" xfId="0" applyNumberFormat="1" applyFill="1" applyAlignment="1" applyProtection="1">
      <alignment horizontal="right"/>
      <protection locked="0"/>
    </xf>
    <xf numFmtId="14" fontId="0" fillId="7" borderId="0" xfId="0" applyNumberFormat="1" applyFill="1" applyAlignment="1" applyProtection="1">
      <alignment horizontal="right"/>
      <protection locked="0"/>
    </xf>
    <xf numFmtId="0" fontId="5" fillId="2" borderId="3" xfId="0" applyFont="1" applyFill="1" applyBorder="1" applyAlignment="1">
      <alignment horizontal="left"/>
    </xf>
    <xf numFmtId="0" fontId="0" fillId="6" borderId="3" xfId="0" applyFill="1" applyBorder="1" applyAlignment="1">
      <alignment horizontal="left"/>
    </xf>
    <xf numFmtId="0" fontId="11" fillId="7" borderId="0" xfId="0" applyFont="1" applyFill="1"/>
    <xf numFmtId="0" fontId="0" fillId="3" borderId="0" xfId="0" applyFill="1"/>
    <xf numFmtId="0" fontId="11" fillId="3" borderId="0" xfId="0" applyFont="1" applyFill="1"/>
    <xf numFmtId="0" fontId="0" fillId="3" borderId="0" xfId="0" applyFill="1" applyAlignment="1">
      <alignment horizontal="left"/>
    </xf>
    <xf numFmtId="0" fontId="0" fillId="7" borderId="0" xfId="0" applyFill="1" applyAlignment="1">
      <alignment vertical="center"/>
    </xf>
    <xf numFmtId="0" fontId="0" fillId="5" borderId="1" xfId="0" applyFill="1" applyBorder="1" applyAlignment="1">
      <alignment horizontal="left"/>
    </xf>
    <xf numFmtId="171" fontId="0" fillId="8" borderId="1" xfId="0" applyNumberFormat="1" applyFill="1" applyBorder="1" applyAlignment="1" applyProtection="1">
      <alignment horizontal="left"/>
      <protection locked="0"/>
    </xf>
    <xf numFmtId="0" fontId="0" fillId="10" borderId="1" xfId="0" applyFill="1" applyBorder="1" applyProtection="1">
      <protection locked="0"/>
    </xf>
    <xf numFmtId="0" fontId="0" fillId="7" borderId="0" xfId="0" applyFill="1" applyProtection="1">
      <protection locked="0"/>
    </xf>
    <xf numFmtId="0" fontId="5" fillId="2" borderId="3" xfId="0" applyFont="1" applyFill="1" applyBorder="1" applyProtection="1">
      <protection locked="0"/>
    </xf>
    <xf numFmtId="0" fontId="0" fillId="6" borderId="3" xfId="0" applyFill="1" applyBorder="1" applyProtection="1">
      <protection locked="0"/>
    </xf>
    <xf numFmtId="0" fontId="4" fillId="7" borderId="0" xfId="0" applyFont="1" applyFill="1" applyAlignment="1" applyProtection="1">
      <alignment wrapText="1"/>
      <protection locked="0"/>
    </xf>
    <xf numFmtId="0" fontId="4" fillId="7" borderId="0" xfId="0" applyFont="1" applyFill="1" applyAlignment="1" applyProtection="1">
      <alignment horizontal="left" wrapText="1"/>
      <protection locked="0"/>
    </xf>
    <xf numFmtId="0" fontId="0" fillId="7" borderId="0" xfId="0" applyFill="1" applyAlignment="1" applyProtection="1">
      <alignment wrapText="1"/>
      <protection locked="0"/>
    </xf>
    <xf numFmtId="0" fontId="0" fillId="7" borderId="0" xfId="0" applyFill="1" applyAlignment="1" applyProtection="1">
      <alignment vertical="center"/>
      <protection locked="0"/>
    </xf>
    <xf numFmtId="0" fontId="0" fillId="7" borderId="0" xfId="0" applyFill="1" applyAlignment="1" applyProtection="1">
      <alignment horizontal="left" wrapText="1"/>
      <protection locked="0"/>
    </xf>
    <xf numFmtId="44" fontId="0" fillId="8" borderId="1" xfId="1" applyFont="1" applyFill="1" applyBorder="1" applyAlignment="1" applyProtection="1">
      <alignment horizontal="center"/>
      <protection locked="0"/>
    </xf>
    <xf numFmtId="44" fontId="0" fillId="8" borderId="1" xfId="1" applyFont="1" applyFill="1" applyBorder="1" applyProtection="1">
      <protection locked="0"/>
    </xf>
    <xf numFmtId="172" fontId="0" fillId="8" borderId="1" xfId="2" applyNumberFormat="1" applyFont="1" applyFill="1" applyBorder="1" applyAlignment="1" applyProtection="1">
      <alignment horizontal="center"/>
      <protection locked="0"/>
    </xf>
    <xf numFmtId="0" fontId="0" fillId="8" borderId="1" xfId="1" applyNumberFormat="1" applyFont="1" applyFill="1" applyBorder="1" applyAlignment="1" applyProtection="1">
      <alignment horizontal="center"/>
      <protection locked="0"/>
    </xf>
    <xf numFmtId="0" fontId="0" fillId="8" borderId="1" xfId="2" applyNumberFormat="1" applyFont="1" applyFill="1" applyBorder="1" applyAlignment="1" applyProtection="1">
      <alignment horizontal="center"/>
      <protection locked="0"/>
    </xf>
    <xf numFmtId="44" fontId="0" fillId="10" borderId="1" xfId="1" applyFont="1" applyFill="1" applyBorder="1" applyAlignment="1" applyProtection="1">
      <protection locked="0"/>
    </xf>
    <xf numFmtId="44" fontId="0" fillId="8" borderId="1" xfId="1" applyFont="1" applyFill="1" applyBorder="1" applyAlignment="1" applyProtection="1">
      <alignment horizontal="right"/>
      <protection locked="0"/>
    </xf>
    <xf numFmtId="44" fontId="0" fillId="18" borderId="4" xfId="1" applyFont="1" applyFill="1" applyBorder="1" applyProtection="1">
      <protection locked="0"/>
    </xf>
    <xf numFmtId="44" fontId="0" fillId="18" borderId="1" xfId="1" applyFont="1" applyFill="1" applyBorder="1" applyProtection="1">
      <protection locked="0"/>
    </xf>
    <xf numFmtId="44" fontId="0" fillId="8" borderId="4" xfId="1" applyFont="1" applyFill="1" applyBorder="1" applyProtection="1">
      <protection locked="0"/>
    </xf>
    <xf numFmtId="44" fontId="0" fillId="18" borderId="32" xfId="1" applyFont="1" applyFill="1" applyBorder="1" applyProtection="1">
      <protection locked="0"/>
    </xf>
    <xf numFmtId="44" fontId="0" fillId="18" borderId="28" xfId="1" applyFont="1" applyFill="1" applyBorder="1" applyProtection="1">
      <protection locked="0"/>
    </xf>
    <xf numFmtId="44" fontId="0" fillId="8" borderId="1" xfId="0" applyNumberFormat="1" applyFill="1" applyBorder="1" applyProtection="1">
      <protection locked="0"/>
    </xf>
    <xf numFmtId="0" fontId="0" fillId="7" borderId="0" xfId="0" applyFill="1" applyAlignment="1" applyProtection="1">
      <alignment horizontal="center" wrapText="1"/>
      <protection locked="0"/>
    </xf>
    <xf numFmtId="0" fontId="0" fillId="7" borderId="0" xfId="0" applyFill="1" applyAlignment="1" applyProtection="1">
      <alignment horizontal="center" vertical="center" wrapText="1"/>
      <protection locked="0"/>
    </xf>
    <xf numFmtId="10" fontId="0" fillId="5" borderId="1" xfId="2" applyNumberFormat="1" applyFont="1" applyFill="1" applyBorder="1" applyProtection="1"/>
    <xf numFmtId="10" fontId="5" fillId="5" borderId="1" xfId="2" applyNumberFormat="1" applyFont="1" applyFill="1" applyBorder="1" applyProtection="1"/>
    <xf numFmtId="44" fontId="0" fillId="14" borderId="1" xfId="0" applyNumberFormat="1" applyFill="1" applyBorder="1"/>
    <xf numFmtId="44" fontId="0" fillId="14" borderId="1" xfId="1" applyFont="1" applyFill="1" applyBorder="1" applyProtection="1"/>
    <xf numFmtId="0" fontId="5" fillId="14" borderId="1" xfId="0" applyFont="1" applyFill="1" applyBorder="1"/>
    <xf numFmtId="0" fontId="0" fillId="14" borderId="1" xfId="0" applyFill="1" applyBorder="1"/>
    <xf numFmtId="10" fontId="0" fillId="14" borderId="1" xfId="0" applyNumberFormat="1" applyFill="1" applyBorder="1"/>
    <xf numFmtId="9" fontId="0" fillId="14" borderId="1" xfId="2" applyFont="1" applyFill="1" applyBorder="1" applyProtection="1"/>
    <xf numFmtId="44" fontId="0" fillId="7" borderId="0" xfId="0" applyNumberFormat="1" applyFill="1"/>
    <xf numFmtId="44" fontId="2" fillId="9" borderId="1" xfId="0" applyNumberFormat="1" applyFont="1" applyFill="1" applyBorder="1"/>
    <xf numFmtId="9" fontId="2" fillId="9" borderId="1" xfId="0" applyNumberFormat="1" applyFont="1" applyFill="1" applyBorder="1"/>
    <xf numFmtId="9" fontId="0" fillId="5" borderId="1" xfId="0" applyNumberFormat="1" applyFill="1" applyBorder="1"/>
    <xf numFmtId="44" fontId="0" fillId="5" borderId="1" xfId="1" applyFont="1" applyFill="1" applyBorder="1" applyProtection="1"/>
    <xf numFmtId="44" fontId="0" fillId="7" borderId="0" xfId="1" applyFont="1" applyFill="1" applyProtection="1"/>
    <xf numFmtId="2" fontId="0" fillId="5" borderId="1" xfId="0" applyNumberFormat="1" applyFill="1" applyBorder="1"/>
    <xf numFmtId="0" fontId="2" fillId="9" borderId="32" xfId="0" applyFont="1" applyFill="1" applyBorder="1"/>
    <xf numFmtId="44" fontId="2" fillId="9" borderId="1" xfId="0" applyNumberFormat="1" applyFont="1" applyFill="1" applyBorder="1" applyAlignment="1">
      <alignment horizontal="center"/>
    </xf>
    <xf numFmtId="9" fontId="2" fillId="9" borderId="1" xfId="2" applyFont="1" applyFill="1" applyBorder="1" applyAlignment="1" applyProtection="1">
      <alignment horizontal="right"/>
    </xf>
    <xf numFmtId="164" fontId="0" fillId="5" borderId="1" xfId="2" applyNumberFormat="1" applyFont="1" applyFill="1" applyBorder="1" applyProtection="1"/>
    <xf numFmtId="164" fontId="0" fillId="5" borderId="1" xfId="0" applyNumberFormat="1" applyFill="1" applyBorder="1"/>
    <xf numFmtId="9" fontId="0" fillId="5" borderId="1" xfId="2" applyFont="1" applyFill="1" applyBorder="1" applyAlignment="1" applyProtection="1">
      <alignment horizontal="left"/>
    </xf>
    <xf numFmtId="0" fontId="8" fillId="8" borderId="6" xfId="0" applyFont="1" applyFill="1" applyBorder="1"/>
    <xf numFmtId="0" fontId="0" fillId="8" borderId="7" xfId="0" applyFill="1" applyBorder="1"/>
    <xf numFmtId="0" fontId="0" fillId="8" borderId="8" xfId="0" applyFill="1" applyBorder="1"/>
    <xf numFmtId="0" fontId="0" fillId="8" borderId="9" xfId="0" applyFill="1" applyBorder="1"/>
    <xf numFmtId="0" fontId="0" fillId="8" borderId="0" xfId="0" applyFill="1"/>
    <xf numFmtId="0" fontId="0" fillId="8" borderId="10" xfId="0" applyFill="1" applyBorder="1"/>
    <xf numFmtId="9" fontId="0" fillId="8" borderId="0" xfId="0" applyNumberFormat="1" applyFill="1"/>
    <xf numFmtId="0" fontId="20" fillId="8" borderId="0" xfId="0" applyFont="1" applyFill="1"/>
    <xf numFmtId="0" fontId="0" fillId="8" borderId="11" xfId="0" applyFill="1" applyBorder="1"/>
    <xf numFmtId="0" fontId="0" fillId="8" borderId="12" xfId="0" applyFill="1" applyBorder="1"/>
    <xf numFmtId="0" fontId="0" fillId="8" borderId="13" xfId="0" applyFill="1" applyBorder="1"/>
    <xf numFmtId="0" fontId="6" fillId="2" borderId="3" xfId="0" applyFont="1" applyFill="1" applyBorder="1"/>
    <xf numFmtId="0" fontId="7" fillId="6" borderId="3" xfId="0" applyFont="1" applyFill="1" applyBorder="1"/>
    <xf numFmtId="0" fontId="0" fillId="23" borderId="14" xfId="0" applyFill="1" applyBorder="1"/>
    <xf numFmtId="0" fontId="0" fillId="23" borderId="28" xfId="0" applyFill="1" applyBorder="1"/>
    <xf numFmtId="0" fontId="0" fillId="7" borderId="41" xfId="0" applyFill="1" applyBorder="1"/>
    <xf numFmtId="0" fontId="0" fillId="23" borderId="18" xfId="0" applyFill="1" applyBorder="1"/>
    <xf numFmtId="0" fontId="0" fillId="23" borderId="29" xfId="0" applyFill="1" applyBorder="1"/>
    <xf numFmtId="0" fontId="0" fillId="23" borderId="30" xfId="0" applyFill="1" applyBorder="1"/>
    <xf numFmtId="0" fontId="0" fillId="23" borderId="31" xfId="0" applyFill="1" applyBorder="1"/>
    <xf numFmtId="0" fontId="0" fillId="5" borderId="14" xfId="0" applyFill="1" applyBorder="1"/>
    <xf numFmtId="0" fontId="0" fillId="5" borderId="28" xfId="0" applyFill="1" applyBorder="1"/>
    <xf numFmtId="0" fontId="0" fillId="5" borderId="30" xfId="0" applyFill="1" applyBorder="1"/>
    <xf numFmtId="0" fontId="0" fillId="5" borderId="31" xfId="0" applyFill="1" applyBorder="1"/>
    <xf numFmtId="172" fontId="0" fillId="8" borderId="1" xfId="2" applyNumberFormat="1" applyFont="1" applyFill="1" applyBorder="1" applyProtection="1">
      <protection locked="0"/>
    </xf>
    <xf numFmtId="0" fontId="13" fillId="10" borderId="30" xfId="0" applyFont="1" applyFill="1" applyBorder="1" applyAlignment="1" applyProtection="1">
      <alignment horizontal="right" wrapText="1"/>
      <protection locked="0"/>
    </xf>
    <xf numFmtId="0" fontId="13" fillId="7" borderId="0" xfId="0" applyFont="1" applyFill="1" applyAlignment="1" applyProtection="1">
      <alignment horizontal="right" wrapText="1"/>
      <protection locked="0"/>
    </xf>
    <xf numFmtId="0" fontId="13" fillId="10" borderId="2" xfId="0" applyFont="1" applyFill="1" applyBorder="1" applyAlignment="1" applyProtection="1">
      <alignment horizontal="right" wrapText="1"/>
      <protection locked="0"/>
    </xf>
    <xf numFmtId="0" fontId="0" fillId="10" borderId="19" xfId="0" applyFill="1" applyBorder="1" applyProtection="1">
      <protection locked="0"/>
    </xf>
    <xf numFmtId="0" fontId="0" fillId="8" borderId="19" xfId="0" applyFill="1" applyBorder="1" applyProtection="1">
      <protection locked="0"/>
    </xf>
    <xf numFmtId="0" fontId="13" fillId="10" borderId="1" xfId="0" applyFont="1" applyFill="1" applyBorder="1" applyAlignment="1" applyProtection="1">
      <alignment horizontal="right" wrapText="1"/>
      <protection locked="0"/>
    </xf>
    <xf numFmtId="164" fontId="0" fillId="7" borderId="0" xfId="2" applyNumberFormat="1" applyFont="1" applyFill="1" applyAlignment="1" applyProtection="1">
      <alignment horizontal="center"/>
    </xf>
    <xf numFmtId="0" fontId="0" fillId="7" borderId="0" xfId="0" applyFill="1" applyAlignment="1">
      <alignment horizontal="center"/>
    </xf>
    <xf numFmtId="9" fontId="0" fillId="7" borderId="0" xfId="2" applyFont="1" applyFill="1" applyAlignment="1" applyProtection="1">
      <alignment horizontal="center"/>
    </xf>
    <xf numFmtId="0" fontId="5" fillId="2" borderId="5" xfId="0" applyFont="1" applyFill="1" applyBorder="1"/>
    <xf numFmtId="0" fontId="5" fillId="2" borderId="5" xfId="0" applyFont="1" applyFill="1" applyBorder="1" applyAlignment="1">
      <alignment horizontal="center"/>
    </xf>
    <xf numFmtId="9" fontId="5" fillId="2" borderId="5" xfId="2" applyFont="1" applyFill="1" applyBorder="1" applyAlignment="1" applyProtection="1">
      <alignment horizontal="center"/>
    </xf>
    <xf numFmtId="0" fontId="0" fillId="6" borderId="2" xfId="0" applyFill="1" applyBorder="1"/>
    <xf numFmtId="0" fontId="0" fillId="17" borderId="1" xfId="0" applyFill="1" applyBorder="1"/>
    <xf numFmtId="0" fontId="3" fillId="8" borderId="6" xfId="0" applyFont="1" applyFill="1" applyBorder="1" applyAlignment="1">
      <alignment horizontal="center" wrapText="1"/>
    </xf>
    <xf numFmtId="0" fontId="0" fillId="0" borderId="0" xfId="0" applyAlignment="1">
      <alignment horizontal="center"/>
    </xf>
    <xf numFmtId="0" fontId="3" fillId="4" borderId="9" xfId="0" applyFont="1" applyFill="1" applyBorder="1" applyAlignment="1">
      <alignment horizontal="center" wrapText="1"/>
    </xf>
    <xf numFmtId="0" fontId="3" fillId="0" borderId="0" xfId="0" applyFont="1" applyAlignment="1">
      <alignment horizontal="center" wrapText="1"/>
    </xf>
    <xf numFmtId="0" fontId="3" fillId="14" borderId="6" xfId="0" applyFont="1" applyFill="1" applyBorder="1" applyAlignment="1">
      <alignment horizontal="center" wrapText="1"/>
    </xf>
    <xf numFmtId="0" fontId="3" fillId="14" borderId="7" xfId="0" applyFont="1" applyFill="1" applyBorder="1" applyAlignment="1">
      <alignment horizontal="center" wrapText="1"/>
    </xf>
    <xf numFmtId="0" fontId="3" fillId="14" borderId="8" xfId="0" applyFont="1" applyFill="1" applyBorder="1" applyAlignment="1">
      <alignment horizontal="center" wrapText="1"/>
    </xf>
    <xf numFmtId="0" fontId="0" fillId="16" borderId="6" xfId="0" applyFill="1" applyBorder="1" applyAlignment="1">
      <alignment horizontal="center" wrapText="1"/>
    </xf>
    <xf numFmtId="0" fontId="3" fillId="16" borderId="7" xfId="0" applyFont="1" applyFill="1" applyBorder="1" applyAlignment="1">
      <alignment horizontal="center" wrapText="1"/>
    </xf>
    <xf numFmtId="0" fontId="3" fillId="16" borderId="8" xfId="0" applyFont="1" applyFill="1" applyBorder="1" applyAlignment="1">
      <alignment horizontal="center" wrapText="1"/>
    </xf>
    <xf numFmtId="0" fontId="0" fillId="15" borderId="1" xfId="0" applyFill="1" applyBorder="1" applyAlignment="1">
      <alignment horizontal="center" wrapText="1"/>
    </xf>
    <xf numFmtId="0" fontId="0" fillId="0" borderId="0" xfId="0" applyAlignment="1">
      <alignment horizontal="center" wrapText="1"/>
    </xf>
    <xf numFmtId="164" fontId="0" fillId="8" borderId="0" xfId="2" applyNumberFormat="1" applyFont="1" applyFill="1" applyBorder="1" applyAlignment="1" applyProtection="1">
      <alignment horizontal="center"/>
    </xf>
    <xf numFmtId="0" fontId="0" fillId="8" borderId="0" xfId="0" applyFill="1" applyAlignment="1">
      <alignment horizontal="center"/>
    </xf>
    <xf numFmtId="0" fontId="0" fillId="8" borderId="10" xfId="0" applyFill="1" applyBorder="1" applyAlignment="1">
      <alignment horizontal="center"/>
    </xf>
    <xf numFmtId="44" fontId="0" fillId="0" borderId="0" xfId="1" applyFont="1" applyProtection="1"/>
    <xf numFmtId="0" fontId="0" fillId="4" borderId="9" xfId="0" applyFill="1" applyBorder="1"/>
    <xf numFmtId="0" fontId="0" fillId="4" borderId="0" xfId="0" applyFill="1" applyAlignment="1">
      <alignment horizontal="center"/>
    </xf>
    <xf numFmtId="0" fontId="0" fillId="4" borderId="10" xfId="0" applyFill="1" applyBorder="1" applyAlignment="1">
      <alignment horizontal="center"/>
    </xf>
    <xf numFmtId="0" fontId="0" fillId="14" borderId="9" xfId="0" applyFill="1" applyBorder="1"/>
    <xf numFmtId="44" fontId="0" fillId="14" borderId="10" xfId="1" applyFont="1" applyFill="1" applyBorder="1" applyProtection="1"/>
    <xf numFmtId="0" fontId="0" fillId="9" borderId="23" xfId="1" applyNumberFormat="1" applyFont="1" applyFill="1" applyBorder="1" applyProtection="1"/>
    <xf numFmtId="0" fontId="3" fillId="16" borderId="0" xfId="0" applyFont="1" applyFill="1"/>
    <xf numFmtId="0" fontId="3" fillId="16" borderId="10" xfId="0" applyFont="1" applyFill="1" applyBorder="1"/>
    <xf numFmtId="0" fontId="3" fillId="0" borderId="0" xfId="0" applyFont="1"/>
    <xf numFmtId="0" fontId="0" fillId="15" borderId="1" xfId="0" applyFill="1" applyBorder="1"/>
    <xf numFmtId="0" fontId="3" fillId="16" borderId="9" xfId="0" applyFont="1" applyFill="1" applyBorder="1"/>
    <xf numFmtId="0" fontId="2" fillId="9" borderId="23" xfId="0" applyFont="1" applyFill="1" applyBorder="1" applyAlignment="1">
      <alignment horizontal="left"/>
    </xf>
    <xf numFmtId="0" fontId="2" fillId="9" borderId="24" xfId="0" applyFont="1" applyFill="1" applyBorder="1" applyAlignment="1">
      <alignment horizontal="center"/>
    </xf>
    <xf numFmtId="9" fontId="0" fillId="16" borderId="23" xfId="2" applyFont="1" applyFill="1" applyBorder="1" applyAlignment="1" applyProtection="1">
      <alignment horizontal="left"/>
    </xf>
    <xf numFmtId="166" fontId="0" fillId="16" borderId="1" xfId="1" applyNumberFormat="1" applyFont="1" applyFill="1" applyBorder="1" applyProtection="1"/>
    <xf numFmtId="166" fontId="0" fillId="16" borderId="24" xfId="1" applyNumberFormat="1" applyFont="1" applyFill="1" applyBorder="1" applyProtection="1"/>
    <xf numFmtId="9" fontId="0" fillId="16" borderId="25" xfId="2" applyFont="1" applyFill="1" applyBorder="1" applyAlignment="1" applyProtection="1">
      <alignment horizontal="left"/>
    </xf>
    <xf numFmtId="166" fontId="0" fillId="16" borderId="26" xfId="1" applyNumberFormat="1" applyFont="1" applyFill="1" applyBorder="1" applyProtection="1"/>
    <xf numFmtId="166" fontId="0" fillId="16" borderId="27" xfId="1" applyNumberFormat="1" applyFont="1" applyFill="1" applyBorder="1" applyProtection="1"/>
    <xf numFmtId="0" fontId="3" fillId="0" borderId="14" xfId="0" applyFont="1" applyBorder="1" applyAlignment="1">
      <alignment horizontal="left"/>
    </xf>
    <xf numFmtId="9" fontId="3" fillId="0" borderId="28" xfId="0" applyNumberFormat="1" applyFont="1" applyBorder="1" applyAlignment="1">
      <alignment horizontal="left"/>
    </xf>
    <xf numFmtId="0" fontId="3" fillId="16" borderId="14" xfId="0" applyFont="1" applyFill="1" applyBorder="1" applyAlignment="1">
      <alignment horizontal="left"/>
    </xf>
    <xf numFmtId="9" fontId="3" fillId="16" borderId="28" xfId="0" applyNumberFormat="1" applyFont="1" applyFill="1" applyBorder="1" applyAlignment="1">
      <alignment horizontal="left"/>
    </xf>
    <xf numFmtId="0" fontId="3" fillId="12" borderId="14" xfId="0" applyFont="1" applyFill="1" applyBorder="1" applyAlignment="1">
      <alignment horizontal="left"/>
    </xf>
    <xf numFmtId="9" fontId="3" fillId="12" borderId="28" xfId="0" applyNumberFormat="1" applyFont="1" applyFill="1" applyBorder="1" applyAlignment="1">
      <alignment horizontal="left"/>
    </xf>
    <xf numFmtId="0" fontId="3" fillId="13" borderId="14" xfId="0" applyFont="1" applyFill="1" applyBorder="1" applyAlignment="1">
      <alignment horizontal="left"/>
    </xf>
    <xf numFmtId="9" fontId="3" fillId="13" borderId="28" xfId="0" applyNumberFormat="1" applyFont="1" applyFill="1" applyBorder="1" applyAlignment="1">
      <alignment horizontal="left"/>
    </xf>
    <xf numFmtId="0" fontId="3" fillId="0" borderId="18" xfId="0" applyFont="1" applyBorder="1" applyAlignment="1">
      <alignment horizontal="left"/>
    </xf>
    <xf numFmtId="165" fontId="0" fillId="0" borderId="29" xfId="1" applyNumberFormat="1" applyFont="1" applyBorder="1" applyAlignment="1" applyProtection="1">
      <alignment horizontal="left"/>
    </xf>
    <xf numFmtId="0" fontId="3" fillId="16" borderId="18" xfId="0" applyFont="1" applyFill="1" applyBorder="1" applyAlignment="1">
      <alignment horizontal="left"/>
    </xf>
    <xf numFmtId="44" fontId="0" fillId="16" borderId="29" xfId="1" applyFont="1" applyFill="1" applyBorder="1" applyAlignment="1" applyProtection="1">
      <alignment horizontal="left"/>
    </xf>
    <xf numFmtId="0" fontId="3" fillId="12" borderId="18" xfId="0" applyFont="1" applyFill="1" applyBorder="1" applyAlignment="1">
      <alignment horizontal="left"/>
    </xf>
    <xf numFmtId="44" fontId="0" fillId="12" borderId="29" xfId="1" applyFont="1" applyFill="1" applyBorder="1" applyAlignment="1" applyProtection="1">
      <alignment horizontal="left"/>
    </xf>
    <xf numFmtId="0" fontId="3" fillId="13" borderId="18" xfId="0" applyFont="1" applyFill="1" applyBorder="1" applyAlignment="1">
      <alignment horizontal="left"/>
    </xf>
    <xf numFmtId="44" fontId="0" fillId="13" borderId="29" xfId="1" applyFont="1" applyFill="1" applyBorder="1" applyAlignment="1" applyProtection="1">
      <alignment horizontal="left"/>
    </xf>
    <xf numFmtId="0" fontId="3" fillId="0" borderId="30" xfId="0" applyFont="1" applyBorder="1" applyAlignment="1">
      <alignment horizontal="left"/>
    </xf>
    <xf numFmtId="165" fontId="0" fillId="0" borderId="31" xfId="1" applyNumberFormat="1" applyFont="1" applyBorder="1" applyAlignment="1" applyProtection="1">
      <alignment horizontal="left"/>
    </xf>
    <xf numFmtId="0" fontId="3" fillId="16" borderId="30" xfId="0" applyFont="1" applyFill="1" applyBorder="1" applyAlignment="1">
      <alignment horizontal="left"/>
    </xf>
    <xf numFmtId="44" fontId="0" fillId="16" borderId="31" xfId="1" applyFont="1" applyFill="1" applyBorder="1" applyAlignment="1" applyProtection="1">
      <alignment horizontal="left"/>
    </xf>
    <xf numFmtId="0" fontId="3" fillId="12" borderId="30" xfId="0" applyFont="1" applyFill="1" applyBorder="1" applyAlignment="1">
      <alignment horizontal="left"/>
    </xf>
    <xf numFmtId="44" fontId="0" fillId="12" borderId="31" xfId="1" applyFont="1" applyFill="1" applyBorder="1" applyAlignment="1" applyProtection="1">
      <alignment horizontal="left"/>
    </xf>
    <xf numFmtId="0" fontId="3" fillId="13" borderId="30" xfId="0" applyFont="1" applyFill="1" applyBorder="1" applyAlignment="1">
      <alignment horizontal="left"/>
    </xf>
    <xf numFmtId="44" fontId="0" fillId="13" borderId="31" xfId="1" applyFont="1" applyFill="1" applyBorder="1" applyAlignment="1" applyProtection="1">
      <alignment horizontal="left"/>
    </xf>
    <xf numFmtId="0" fontId="0" fillId="0" borderId="0" xfId="0" applyAlignment="1">
      <alignment horizontal="left"/>
    </xf>
    <xf numFmtId="44" fontId="0" fillId="0" borderId="29" xfId="1" applyFont="1" applyFill="1" applyBorder="1" applyAlignment="1" applyProtection="1">
      <alignment horizontal="left"/>
    </xf>
    <xf numFmtId="44" fontId="0" fillId="0" borderId="31" xfId="1" applyFont="1" applyFill="1" applyBorder="1" applyAlignment="1" applyProtection="1">
      <alignment horizontal="left"/>
    </xf>
    <xf numFmtId="0" fontId="0" fillId="4" borderId="11" xfId="0" applyFill="1" applyBorder="1"/>
    <xf numFmtId="0" fontId="0" fillId="4" borderId="12" xfId="0" applyFill="1" applyBorder="1" applyAlignment="1">
      <alignment horizontal="center"/>
    </xf>
    <xf numFmtId="0" fontId="0" fillId="14" borderId="11" xfId="0" applyFill="1" applyBorder="1"/>
    <xf numFmtId="44" fontId="0" fillId="14" borderId="13" xfId="1" applyFont="1" applyFill="1" applyBorder="1" applyProtection="1"/>
    <xf numFmtId="9" fontId="0" fillId="0" borderId="0" xfId="2" applyFont="1" applyAlignment="1" applyProtection="1">
      <alignment horizontal="center"/>
    </xf>
    <xf numFmtId="164" fontId="0" fillId="0" borderId="0" xfId="2" applyNumberFormat="1" applyFont="1" applyAlignment="1" applyProtection="1">
      <alignment horizontal="center"/>
    </xf>
    <xf numFmtId="0" fontId="6" fillId="2" borderId="2" xfId="0" applyFont="1" applyFill="1" applyBorder="1" applyProtection="1">
      <protection locked="0"/>
    </xf>
    <xf numFmtId="0" fontId="6" fillId="2" borderId="2" xfId="0" applyFont="1" applyFill="1" applyBorder="1" applyAlignment="1" applyProtection="1">
      <alignment horizontal="right"/>
      <protection locked="0"/>
    </xf>
    <xf numFmtId="0" fontId="7" fillId="6" borderId="2" xfId="0" applyFont="1" applyFill="1" applyBorder="1" applyProtection="1">
      <protection locked="0"/>
    </xf>
    <xf numFmtId="0" fontId="7" fillId="6" borderId="2" xfId="0" applyFont="1" applyFill="1" applyBorder="1" applyAlignment="1" applyProtection="1">
      <alignment horizontal="right"/>
      <protection locked="0"/>
    </xf>
    <xf numFmtId="0" fontId="14" fillId="6" borderId="3" xfId="0" applyFont="1" applyFill="1" applyBorder="1" applyProtection="1">
      <protection locked="0"/>
    </xf>
    <xf numFmtId="0" fontId="20" fillId="7" borderId="0" xfId="0" applyFont="1" applyFill="1" applyProtection="1">
      <protection locked="0"/>
    </xf>
    <xf numFmtId="0" fontId="0" fillId="0" borderId="0" xfId="0" applyProtection="1">
      <protection locked="0"/>
    </xf>
    <xf numFmtId="44" fontId="0" fillId="7" borderId="0" xfId="1" applyFont="1" applyFill="1" applyProtection="1">
      <protection locked="0"/>
    </xf>
    <xf numFmtId="173" fontId="0" fillId="8" borderId="1" xfId="1" applyNumberFormat="1" applyFont="1" applyFill="1" applyBorder="1" applyAlignment="1" applyProtection="1">
      <alignment horizontal="left"/>
      <protection locked="0"/>
    </xf>
    <xf numFmtId="2" fontId="0" fillId="8" borderId="1" xfId="0" applyNumberFormat="1" applyFill="1" applyBorder="1" applyAlignment="1" applyProtection="1">
      <alignment horizontal="left"/>
      <protection locked="0"/>
    </xf>
    <xf numFmtId="0" fontId="36" fillId="7" borderId="0" xfId="0" applyFont="1" applyFill="1"/>
    <xf numFmtId="0" fontId="37" fillId="9" borderId="4" xfId="0" applyFont="1" applyFill="1" applyBorder="1" applyAlignment="1">
      <alignment horizontal="center" vertical="center" wrapText="1"/>
    </xf>
    <xf numFmtId="0" fontId="0" fillId="3" borderId="5" xfId="0" applyFill="1" applyBorder="1"/>
    <xf numFmtId="0" fontId="0" fillId="3" borderId="28" xfId="0" applyFill="1" applyBorder="1"/>
    <xf numFmtId="0" fontId="12" fillId="3" borderId="18" xfId="0" applyFont="1" applyFill="1" applyBorder="1"/>
    <xf numFmtId="0" fontId="0" fillId="3" borderId="29" xfId="0" applyFill="1" applyBorder="1"/>
    <xf numFmtId="0" fontId="0" fillId="3" borderId="18" xfId="0" applyFill="1" applyBorder="1"/>
    <xf numFmtId="0" fontId="0" fillId="3" borderId="0" xfId="0" applyFill="1" applyAlignment="1">
      <alignment horizontal="right"/>
    </xf>
    <xf numFmtId="0" fontId="0" fillId="3" borderId="30" xfId="0" applyFill="1" applyBorder="1"/>
    <xf numFmtId="0" fontId="0" fillId="3" borderId="40" xfId="0" applyFill="1" applyBorder="1"/>
    <xf numFmtId="0" fontId="0" fillId="3" borderId="31" xfId="0" applyFill="1" applyBorder="1"/>
    <xf numFmtId="0" fontId="12" fillId="3" borderId="30" xfId="0" applyFont="1" applyFill="1" applyBorder="1"/>
    <xf numFmtId="14" fontId="0" fillId="8" borderId="1" xfId="1" applyNumberFormat="1" applyFont="1" applyFill="1" applyBorder="1" applyAlignment="1" applyProtection="1">
      <alignment horizontal="left"/>
      <protection locked="0"/>
    </xf>
    <xf numFmtId="174" fontId="0" fillId="8" borderId="1" xfId="1" applyNumberFormat="1" applyFont="1" applyFill="1" applyBorder="1" applyAlignment="1" applyProtection="1">
      <alignment horizontal="left"/>
      <protection locked="0"/>
    </xf>
    <xf numFmtId="172" fontId="0" fillId="18" borderId="1" xfId="2" applyNumberFormat="1" applyFont="1" applyFill="1" applyBorder="1" applyAlignment="1" applyProtection="1">
      <alignment horizontal="center"/>
      <protection locked="0"/>
    </xf>
    <xf numFmtId="9" fontId="0" fillId="5" borderId="1" xfId="2" applyFont="1" applyFill="1" applyBorder="1" applyAlignment="1" applyProtection="1">
      <alignment horizontal="center"/>
    </xf>
    <xf numFmtId="0" fontId="0" fillId="5" borderId="1" xfId="2" applyNumberFormat="1" applyFont="1" applyFill="1" applyBorder="1" applyAlignment="1" applyProtection="1">
      <alignment horizontal="center"/>
    </xf>
    <xf numFmtId="0" fontId="0" fillId="7" borderId="0" xfId="0" applyFill="1" applyAlignment="1">
      <alignment horizontal="left" vertical="top" wrapText="1"/>
    </xf>
    <xf numFmtId="0" fontId="0" fillId="7" borderId="0" xfId="0" applyFill="1" applyAlignment="1">
      <alignment horizontal="right" vertical="top" wrapText="1"/>
    </xf>
    <xf numFmtId="0" fontId="2" fillId="2" borderId="1" xfId="0" applyFont="1" applyFill="1" applyBorder="1" applyAlignment="1">
      <alignment horizontal="center"/>
    </xf>
    <xf numFmtId="0" fontId="22" fillId="7" borderId="0" xfId="0" applyFont="1" applyFill="1" applyProtection="1">
      <protection locked="0"/>
    </xf>
    <xf numFmtId="0" fontId="3" fillId="7" borderId="0" xfId="0" applyFont="1" applyFill="1" applyProtection="1">
      <protection locked="0"/>
    </xf>
    <xf numFmtId="165" fontId="0" fillId="14" borderId="1" xfId="1" applyNumberFormat="1" applyFont="1" applyFill="1" applyBorder="1" applyProtection="1"/>
    <xf numFmtId="0" fontId="0" fillId="14" borderId="1" xfId="1" applyNumberFormat="1" applyFont="1" applyFill="1" applyBorder="1" applyProtection="1"/>
    <xf numFmtId="0" fontId="0" fillId="10" borderId="2" xfId="0" applyFill="1" applyBorder="1" applyAlignment="1" applyProtection="1">
      <alignment horizontal="center"/>
      <protection locked="0"/>
    </xf>
    <xf numFmtId="0" fontId="29" fillId="7" borderId="0" xfId="0" applyFont="1" applyFill="1" applyProtection="1">
      <protection locked="0"/>
    </xf>
    <xf numFmtId="0" fontId="0" fillId="7" borderId="0" xfId="0" quotePrefix="1" applyFill="1" applyAlignment="1" applyProtection="1">
      <alignment horizontal="left" wrapText="1" indent="2"/>
      <protection locked="0"/>
    </xf>
    <xf numFmtId="0" fontId="0" fillId="7" borderId="0" xfId="0" applyFill="1" applyAlignment="1" applyProtection="1">
      <alignment horizontal="left" wrapText="1" indent="2"/>
      <protection locked="0"/>
    </xf>
    <xf numFmtId="2" fontId="0" fillId="7" borderId="0" xfId="0" applyNumberFormat="1" applyFill="1" applyProtection="1">
      <protection locked="0"/>
    </xf>
    <xf numFmtId="0" fontId="0" fillId="7" borderId="0" xfId="0" applyFill="1" applyAlignment="1" applyProtection="1">
      <alignment horizontal="left" vertical="top" wrapText="1"/>
      <protection locked="0"/>
    </xf>
    <xf numFmtId="0" fontId="0" fillId="10" borderId="1" xfId="1" applyNumberFormat="1" applyFont="1" applyFill="1" applyBorder="1" applyAlignment="1" applyProtection="1">
      <alignment horizontal="center"/>
      <protection locked="0"/>
    </xf>
    <xf numFmtId="0" fontId="0" fillId="13" borderId="1" xfId="0" applyFill="1" applyBorder="1"/>
    <xf numFmtId="0" fontId="5" fillId="7" borderId="18" xfId="0" applyFont="1" applyFill="1" applyBorder="1" applyAlignment="1">
      <alignment horizontal="right"/>
    </xf>
    <xf numFmtId="1" fontId="0" fillId="5" borderId="1" xfId="1" applyNumberFormat="1" applyFont="1" applyFill="1" applyBorder="1" applyProtection="1"/>
    <xf numFmtId="0" fontId="0" fillId="5" borderId="1" xfId="1" applyNumberFormat="1" applyFont="1" applyFill="1" applyBorder="1" applyProtection="1"/>
    <xf numFmtId="0" fontId="0" fillId="12" borderId="2" xfId="0" applyFill="1" applyBorder="1" applyAlignment="1" applyProtection="1">
      <alignment horizontal="center"/>
      <protection locked="0"/>
    </xf>
    <xf numFmtId="0" fontId="0" fillId="12" borderId="1" xfId="0" applyFill="1" applyBorder="1" applyAlignment="1" applyProtection="1">
      <alignment horizontal="center"/>
      <protection locked="0"/>
    </xf>
    <xf numFmtId="0" fontId="40" fillId="7" borderId="0" xfId="0" applyFont="1" applyFill="1" applyAlignment="1">
      <alignment horizontal="right"/>
    </xf>
    <xf numFmtId="0" fontId="0" fillId="5" borderId="0" xfId="0" applyFill="1"/>
    <xf numFmtId="0" fontId="0" fillId="5" borderId="18" xfId="0" applyFill="1" applyBorder="1"/>
    <xf numFmtId="0" fontId="0" fillId="19" borderId="1" xfId="0" applyFill="1" applyBorder="1" applyAlignment="1" applyProtection="1">
      <alignment horizontal="center"/>
      <protection locked="0"/>
    </xf>
    <xf numFmtId="9" fontId="0" fillId="19" borderId="1" xfId="2" applyFont="1" applyFill="1" applyBorder="1" applyAlignment="1" applyProtection="1">
      <alignment horizontal="center"/>
      <protection locked="0"/>
    </xf>
    <xf numFmtId="0" fontId="31" fillId="7" borderId="0" xfId="0" applyFont="1" applyFill="1" applyAlignment="1">
      <alignment horizontal="right"/>
    </xf>
    <xf numFmtId="0" fontId="41" fillId="2" borderId="3" xfId="0" applyFont="1" applyFill="1" applyBorder="1"/>
    <xf numFmtId="14" fontId="2" fillId="9" borderId="1" xfId="1" applyNumberFormat="1" applyFont="1" applyFill="1" applyBorder="1" applyAlignment="1">
      <alignment horizontal="right"/>
    </xf>
    <xf numFmtId="0" fontId="43" fillId="9" borderId="3" xfId="0" applyFont="1" applyFill="1" applyBorder="1" applyAlignment="1">
      <alignment horizontal="left"/>
    </xf>
    <xf numFmtId="0" fontId="6" fillId="2" borderId="0" xfId="0" applyFont="1" applyFill="1"/>
    <xf numFmtId="0" fontId="5" fillId="2" borderId="0" xfId="0" applyFont="1" applyFill="1"/>
    <xf numFmtId="0" fontId="7" fillId="6" borderId="0" xfId="0" applyFont="1" applyFill="1"/>
    <xf numFmtId="0" fontId="14" fillId="6" borderId="0" xfId="0" applyFont="1" applyFill="1"/>
    <xf numFmtId="0" fontId="0" fillId="23" borderId="0" xfId="0" applyFill="1"/>
    <xf numFmtId="0" fontId="0" fillId="16" borderId="0" xfId="0" applyFill="1"/>
    <xf numFmtId="44" fontId="0" fillId="5" borderId="0" xfId="0" applyNumberFormat="1" applyFill="1"/>
    <xf numFmtId="0" fontId="0" fillId="15" borderId="0" xfId="0" applyFill="1"/>
    <xf numFmtId="0" fontId="0" fillId="21" borderId="0" xfId="0" applyFill="1"/>
    <xf numFmtId="0" fontId="0" fillId="8" borderId="2" xfId="0" applyFill="1" applyBorder="1" applyAlignment="1" applyProtection="1">
      <alignment horizontal="left"/>
      <protection locked="0"/>
    </xf>
    <xf numFmtId="0" fontId="18" fillId="7" borderId="0" xfId="0" applyFont="1" applyFill="1"/>
    <xf numFmtId="0" fontId="4" fillId="7" borderId="0" xfId="0" applyFont="1" applyFill="1" applyAlignment="1">
      <alignment horizontal="right"/>
    </xf>
    <xf numFmtId="44" fontId="0" fillId="18" borderId="1" xfId="1" applyFont="1" applyFill="1" applyBorder="1" applyAlignment="1" applyProtection="1">
      <alignment horizontal="center"/>
      <protection locked="0"/>
    </xf>
    <xf numFmtId="0" fontId="6" fillId="2" borderId="14" xfId="0" applyFont="1" applyFill="1" applyBorder="1" applyProtection="1">
      <protection locked="0"/>
    </xf>
    <xf numFmtId="0" fontId="6" fillId="2" borderId="14" xfId="0" applyFont="1" applyFill="1" applyBorder="1" applyAlignment="1" applyProtection="1">
      <alignment horizontal="right"/>
      <protection locked="0"/>
    </xf>
    <xf numFmtId="0" fontId="5" fillId="2" borderId="5" xfId="0" applyFont="1" applyFill="1" applyBorder="1" applyProtection="1">
      <protection locked="0"/>
    </xf>
    <xf numFmtId="0" fontId="0" fillId="7" borderId="0" xfId="0" applyFill="1" applyAlignment="1" applyProtection="1">
      <alignment horizontal="left"/>
      <protection locked="0"/>
    </xf>
    <xf numFmtId="0" fontId="2" fillId="9" borderId="2" xfId="0" applyFont="1" applyFill="1" applyBorder="1" applyAlignment="1">
      <alignment horizontal="center" vertical="center" wrapText="1"/>
    </xf>
    <xf numFmtId="0" fontId="0" fillId="5" borderId="1" xfId="2" applyNumberFormat="1" applyFont="1" applyFill="1" applyBorder="1" applyProtection="1"/>
    <xf numFmtId="44" fontId="28" fillId="7" borderId="0" xfId="1" applyFont="1" applyFill="1"/>
    <xf numFmtId="44" fontId="28" fillId="7" borderId="0" xfId="0" applyNumberFormat="1" applyFont="1" applyFill="1"/>
    <xf numFmtId="0" fontId="0" fillId="13" borderId="0" xfId="0" applyFill="1"/>
    <xf numFmtId="0" fontId="3" fillId="8" borderId="7" xfId="0" applyFont="1" applyFill="1" applyBorder="1" applyAlignment="1">
      <alignment horizontal="center" wrapText="1"/>
    </xf>
    <xf numFmtId="0" fontId="3" fillId="8" borderId="8" xfId="0" applyFont="1" applyFill="1" applyBorder="1" applyAlignment="1">
      <alignment horizontal="center" wrapText="1"/>
    </xf>
    <xf numFmtId="0" fontId="0" fillId="6" borderId="4" xfId="0" applyFill="1" applyBorder="1"/>
    <xf numFmtId="0" fontId="5" fillId="2" borderId="4" xfId="0" applyFont="1" applyFill="1" applyBorder="1"/>
    <xf numFmtId="10" fontId="0" fillId="20" borderId="1" xfId="2" applyNumberFormat="1" applyFont="1" applyFill="1" applyBorder="1" applyAlignment="1" applyProtection="1">
      <alignment horizontal="left"/>
    </xf>
    <xf numFmtId="0" fontId="4" fillId="7" borderId="0" xfId="0" applyFont="1" applyFill="1" applyAlignment="1">
      <alignment horizontal="left"/>
    </xf>
    <xf numFmtId="42" fontId="0" fillId="18" borderId="4" xfId="1" applyNumberFormat="1" applyFont="1" applyFill="1" applyBorder="1" applyProtection="1">
      <protection locked="0"/>
    </xf>
    <xf numFmtId="42" fontId="0" fillId="18" borderId="1" xfId="1" applyNumberFormat="1" applyFont="1" applyFill="1" applyBorder="1" applyProtection="1">
      <protection locked="0"/>
    </xf>
    <xf numFmtId="42" fontId="0" fillId="8" borderId="1" xfId="1" applyNumberFormat="1" applyFont="1" applyFill="1" applyBorder="1" applyProtection="1">
      <protection locked="0"/>
    </xf>
    <xf numFmtId="42" fontId="0" fillId="8" borderId="4" xfId="1" applyNumberFormat="1" applyFont="1" applyFill="1" applyBorder="1" applyProtection="1">
      <protection locked="0"/>
    </xf>
    <xf numFmtId="42" fontId="0" fillId="8" borderId="28" xfId="1" applyNumberFormat="1" applyFont="1" applyFill="1" applyBorder="1" applyProtection="1">
      <protection locked="0"/>
    </xf>
    <xf numFmtId="42" fontId="0" fillId="18" borderId="32" xfId="1" applyNumberFormat="1" applyFont="1" applyFill="1" applyBorder="1" applyProtection="1">
      <protection locked="0"/>
    </xf>
    <xf numFmtId="42" fontId="0" fillId="5" borderId="1" xfId="1" applyNumberFormat="1" applyFont="1" applyFill="1" applyBorder="1"/>
    <xf numFmtId="42" fontId="0" fillId="8" borderId="32" xfId="1" applyNumberFormat="1" applyFont="1" applyFill="1" applyBorder="1" applyProtection="1">
      <protection locked="0"/>
    </xf>
    <xf numFmtId="42" fontId="0" fillId="18" borderId="28" xfId="1" applyNumberFormat="1" applyFont="1" applyFill="1" applyBorder="1" applyProtection="1">
      <protection locked="0"/>
    </xf>
    <xf numFmtId="42" fontId="2" fillId="2" borderId="1" xfId="1" applyNumberFormat="1" applyFont="1" applyFill="1" applyBorder="1"/>
    <xf numFmtId="42" fontId="0" fillId="5" borderId="4" xfId="0" applyNumberFormat="1" applyFill="1" applyBorder="1" applyAlignment="1">
      <alignment horizontal="left"/>
    </xf>
    <xf numFmtId="42" fontId="0" fillId="9" borderId="3" xfId="0" applyNumberFormat="1" applyFill="1" applyBorder="1"/>
    <xf numFmtId="42" fontId="0" fillId="9" borderId="3" xfId="1" applyNumberFormat="1" applyFont="1" applyFill="1" applyBorder="1"/>
    <xf numFmtId="42" fontId="0" fillId="9" borderId="4" xfId="0" applyNumberFormat="1" applyFill="1" applyBorder="1"/>
    <xf numFmtId="42" fontId="2" fillId="2" borderId="31" xfId="0" applyNumberFormat="1" applyFont="1" applyFill="1" applyBorder="1" applyAlignment="1">
      <alignment horizontal="left"/>
    </xf>
    <xf numFmtId="42" fontId="0" fillId="5" borderId="1" xfId="0" applyNumberFormat="1" applyFill="1" applyBorder="1"/>
    <xf numFmtId="0" fontId="5" fillId="5" borderId="1" xfId="0" applyFont="1" applyFill="1" applyBorder="1"/>
    <xf numFmtId="42" fontId="0" fillId="8" borderId="1" xfId="1" applyNumberFormat="1" applyFont="1" applyFill="1" applyBorder="1" applyAlignment="1" applyProtection="1">
      <alignment horizontal="center"/>
      <protection locked="0"/>
    </xf>
    <xf numFmtId="42" fontId="0" fillId="5" borderId="1" xfId="1" applyNumberFormat="1" applyFont="1" applyFill="1" applyBorder="1" applyAlignment="1">
      <alignment horizontal="center"/>
    </xf>
    <xf numFmtId="42" fontId="0" fillId="19" borderId="1" xfId="1" applyNumberFormat="1" applyFont="1" applyFill="1" applyBorder="1" applyAlignment="1" applyProtection="1">
      <alignment horizontal="center"/>
      <protection locked="0"/>
    </xf>
    <xf numFmtId="42" fontId="0" fillId="5" borderId="32" xfId="1" applyNumberFormat="1" applyFont="1" applyFill="1" applyBorder="1" applyAlignment="1">
      <alignment horizontal="center"/>
    </xf>
    <xf numFmtId="42" fontId="0" fillId="12" borderId="2" xfId="0" applyNumberFormat="1" applyFill="1" applyBorder="1" applyAlignment="1" applyProtection="1">
      <alignment horizontal="center"/>
      <protection locked="0"/>
    </xf>
    <xf numFmtId="42" fontId="0" fillId="12" borderId="1" xfId="0" applyNumberFormat="1" applyFill="1" applyBorder="1" applyAlignment="1" applyProtection="1">
      <alignment horizontal="center"/>
      <protection locked="0"/>
    </xf>
    <xf numFmtId="42" fontId="0" fillId="9" borderId="3" xfId="0" applyNumberFormat="1" applyFill="1" applyBorder="1" applyAlignment="1">
      <alignment horizontal="left"/>
    </xf>
    <xf numFmtId="42" fontId="0" fillId="12" borderId="1" xfId="1" applyNumberFormat="1" applyFont="1" applyFill="1" applyBorder="1" applyAlignment="1" applyProtection="1">
      <alignment horizontal="center"/>
      <protection locked="0"/>
    </xf>
    <xf numFmtId="42" fontId="0" fillId="9" borderId="4" xfId="1" applyNumberFormat="1" applyFont="1" applyFill="1" applyBorder="1" applyAlignment="1">
      <alignment horizontal="left"/>
    </xf>
    <xf numFmtId="42" fontId="2" fillId="9" borderId="1" xfId="1" applyNumberFormat="1" applyFont="1" applyFill="1" applyBorder="1"/>
    <xf numFmtId="42" fontId="3" fillId="5" borderId="1" xfId="1" applyNumberFormat="1" applyFont="1" applyFill="1" applyBorder="1"/>
    <xf numFmtId="42" fontId="0" fillId="7" borderId="0" xfId="0" applyNumberFormat="1" applyFill="1"/>
    <xf numFmtId="42" fontId="2" fillId="9" borderId="1" xfId="0" applyNumberFormat="1" applyFont="1" applyFill="1" applyBorder="1" applyAlignment="1">
      <alignment horizontal="center"/>
    </xf>
    <xf numFmtId="42" fontId="15" fillId="7" borderId="0" xfId="1" applyNumberFormat="1" applyFont="1" applyFill="1" applyBorder="1"/>
    <xf numFmtId="42" fontId="2" fillId="7" borderId="0" xfId="1" applyNumberFormat="1" applyFont="1" applyFill="1" applyBorder="1"/>
    <xf numFmtId="42" fontId="0" fillId="7" borderId="0" xfId="1" applyNumberFormat="1" applyFont="1" applyFill="1"/>
    <xf numFmtId="42" fontId="15" fillId="7" borderId="0" xfId="0" applyNumberFormat="1" applyFont="1" applyFill="1"/>
    <xf numFmtId="0" fontId="4" fillId="7" borderId="0" xfId="0" applyFont="1" applyFill="1" applyAlignment="1" applyProtection="1">
      <alignment horizontal="left" vertical="top" wrapText="1"/>
      <protection locked="0"/>
    </xf>
    <xf numFmtId="44" fontId="0" fillId="14" borderId="0" xfId="1" applyFont="1" applyFill="1" applyBorder="1" applyProtection="1"/>
    <xf numFmtId="44" fontId="0" fillId="14" borderId="12" xfId="1" applyFont="1" applyFill="1" applyBorder="1" applyProtection="1"/>
    <xf numFmtId="0" fontId="0" fillId="7" borderId="0" xfId="0" applyFill="1" applyAlignment="1">
      <alignment horizontal="left" vertical="top"/>
    </xf>
    <xf numFmtId="0" fontId="0" fillId="7" borderId="1" xfId="0" applyFill="1" applyBorder="1" applyAlignment="1">
      <alignment horizontal="center" vertical="center"/>
    </xf>
    <xf numFmtId="0" fontId="0" fillId="0" borderId="1" xfId="0" applyBorder="1" applyAlignment="1">
      <alignment horizontal="center" vertical="center"/>
    </xf>
    <xf numFmtId="0" fontId="46" fillId="7" borderId="0" xfId="0" applyFont="1" applyFill="1"/>
    <xf numFmtId="10" fontId="0" fillId="0" borderId="0" xfId="2" applyNumberFormat="1" applyFont="1" applyFill="1" applyBorder="1" applyAlignment="1" applyProtection="1">
      <alignment horizontal="left"/>
    </xf>
    <xf numFmtId="10" fontId="26" fillId="0" borderId="0" xfId="2" applyNumberFormat="1" applyFont="1" applyFill="1" applyAlignment="1" applyProtection="1">
      <alignment horizontal="left"/>
    </xf>
    <xf numFmtId="44" fontId="0" fillId="0" borderId="0" xfId="1" applyFont="1" applyAlignment="1" applyProtection="1">
      <alignment horizontal="left"/>
    </xf>
    <xf numFmtId="44" fontId="0" fillId="0" borderId="0" xfId="1" applyFont="1" applyAlignment="1" applyProtection="1"/>
    <xf numFmtId="0" fontId="5" fillId="7" borderId="0" xfId="0" applyFont="1" applyFill="1" applyAlignment="1">
      <alignment horizontal="left"/>
    </xf>
    <xf numFmtId="0" fontId="0" fillId="5" borderId="1" xfId="1" applyNumberFormat="1" applyFont="1" applyFill="1" applyBorder="1" applyAlignment="1" applyProtection="1">
      <alignment horizontal="left"/>
    </xf>
    <xf numFmtId="0" fontId="0" fillId="5" borderId="19" xfId="1" applyNumberFormat="1" applyFont="1" applyFill="1" applyBorder="1" applyAlignment="1" applyProtection="1">
      <alignment horizontal="left"/>
    </xf>
    <xf numFmtId="0" fontId="49" fillId="25" borderId="14" xfId="0" applyFont="1" applyFill="1" applyBorder="1"/>
    <xf numFmtId="0" fontId="50" fillId="25" borderId="0" xfId="0" applyFont="1" applyFill="1" applyAlignment="1">
      <alignment horizontal="right" wrapText="1"/>
    </xf>
    <xf numFmtId="0" fontId="50" fillId="25" borderId="29" xfId="0" applyFont="1" applyFill="1" applyBorder="1" applyAlignment="1">
      <alignment horizontal="right"/>
    </xf>
    <xf numFmtId="0" fontId="12" fillId="25" borderId="5" xfId="0" applyFont="1" applyFill="1" applyBorder="1" applyAlignment="1">
      <alignment wrapText="1"/>
    </xf>
    <xf numFmtId="0" fontId="3" fillId="25" borderId="28" xfId="0" applyFont="1" applyFill="1" applyBorder="1"/>
    <xf numFmtId="0" fontId="2" fillId="25" borderId="5" xfId="0" applyFont="1" applyFill="1" applyBorder="1" applyAlignment="1">
      <alignment horizontal="right"/>
    </xf>
    <xf numFmtId="0" fontId="2" fillId="25" borderId="5" xfId="0" applyFont="1" applyFill="1" applyBorder="1"/>
    <xf numFmtId="0" fontId="2" fillId="25" borderId="5" xfId="0" applyFont="1" applyFill="1" applyBorder="1" applyAlignment="1">
      <alignment wrapText="1"/>
    </xf>
    <xf numFmtId="0" fontId="2" fillId="25" borderId="28" xfId="0" applyFont="1" applyFill="1" applyBorder="1"/>
    <xf numFmtId="0" fontId="2" fillId="25" borderId="0" xfId="0" applyFont="1" applyFill="1" applyAlignment="1">
      <alignment wrapText="1"/>
    </xf>
    <xf numFmtId="0" fontId="2" fillId="25" borderId="0" xfId="0" applyFont="1" applyFill="1" applyAlignment="1">
      <alignment horizontal="right" wrapText="1"/>
    </xf>
    <xf numFmtId="0" fontId="2" fillId="25" borderId="29" xfId="0" applyFont="1" applyFill="1" applyBorder="1" applyAlignment="1">
      <alignment horizontal="right"/>
    </xf>
    <xf numFmtId="0" fontId="28" fillId="25" borderId="5" xfId="0" applyFont="1" applyFill="1" applyBorder="1" applyAlignment="1">
      <alignment horizontal="right"/>
    </xf>
    <xf numFmtId="0" fontId="28" fillId="25" borderId="5" xfId="0" applyFont="1" applyFill="1" applyBorder="1"/>
    <xf numFmtId="0" fontId="28" fillId="25" borderId="28" xfId="0" applyFont="1" applyFill="1" applyBorder="1"/>
    <xf numFmtId="0" fontId="28" fillId="25" borderId="0" xfId="0" applyFont="1" applyFill="1" applyAlignment="1">
      <alignment wrapText="1"/>
    </xf>
    <xf numFmtId="0" fontId="51" fillId="6" borderId="30" xfId="0" applyFont="1" applyFill="1" applyBorder="1" applyAlignment="1">
      <alignment vertical="top"/>
    </xf>
    <xf numFmtId="0" fontId="51" fillId="6" borderId="30" xfId="0" applyFont="1" applyFill="1" applyBorder="1"/>
    <xf numFmtId="0" fontId="51" fillId="6" borderId="18" xfId="0" applyFont="1" applyFill="1" applyBorder="1"/>
    <xf numFmtId="0" fontId="5" fillId="7" borderId="0" xfId="0" applyFont="1" applyFill="1" applyAlignment="1" applyProtection="1">
      <alignment horizontal="right" wrapText="1"/>
      <protection locked="0"/>
    </xf>
    <xf numFmtId="0" fontId="0" fillId="20" borderId="0" xfId="0" applyFill="1" applyAlignment="1">
      <alignment vertical="top"/>
    </xf>
    <xf numFmtId="0" fontId="0" fillId="19" borderId="2" xfId="0" applyFill="1" applyBorder="1" applyAlignment="1" applyProtection="1">
      <alignment horizontal="center"/>
      <protection locked="0"/>
    </xf>
    <xf numFmtId="9" fontId="0" fillId="19" borderId="2" xfId="2" applyFont="1" applyFill="1" applyBorder="1" applyAlignment="1" applyProtection="1">
      <alignment horizontal="center"/>
      <protection locked="0"/>
    </xf>
    <xf numFmtId="0" fontId="2" fillId="18" borderId="2" xfId="0" applyFont="1" applyFill="1" applyBorder="1" applyAlignment="1">
      <alignment horizontal="left"/>
    </xf>
    <xf numFmtId="0" fontId="2" fillId="18" borderId="3" xfId="0" applyFont="1" applyFill="1" applyBorder="1" applyAlignment="1">
      <alignment horizontal="left"/>
    </xf>
    <xf numFmtId="0" fontId="2" fillId="18" borderId="4" xfId="0" applyFont="1" applyFill="1" applyBorder="1" applyAlignment="1">
      <alignment horizontal="left"/>
    </xf>
    <xf numFmtId="0" fontId="5" fillId="7" borderId="0" xfId="0" applyFont="1" applyFill="1" applyAlignment="1">
      <alignment wrapText="1"/>
    </xf>
    <xf numFmtId="0" fontId="0" fillId="0" borderId="0" xfId="0" applyAlignment="1">
      <alignment horizontal="right"/>
    </xf>
    <xf numFmtId="0" fontId="29" fillId="7" borderId="0" xfId="0" applyFont="1" applyFill="1" applyAlignment="1">
      <alignment horizontal="right"/>
    </xf>
    <xf numFmtId="49" fontId="19" fillId="8" borderId="1" xfId="1" applyNumberFormat="1" applyFont="1" applyFill="1" applyBorder="1" applyProtection="1">
      <protection locked="0"/>
    </xf>
    <xf numFmtId="0" fontId="6" fillId="2" borderId="0" xfId="0" applyFont="1" applyFill="1" applyAlignment="1">
      <alignment horizontal="left"/>
    </xf>
    <xf numFmtId="0" fontId="0" fillId="21" borderId="0" xfId="0" applyFill="1" applyAlignment="1">
      <alignment horizontal="left"/>
    </xf>
    <xf numFmtId="43" fontId="0" fillId="23" borderId="0" xfId="0" applyNumberFormat="1" applyFill="1" applyAlignment="1">
      <alignment horizontal="left"/>
    </xf>
    <xf numFmtId="0" fontId="0" fillId="16" borderId="0" xfId="0" applyFill="1" applyAlignment="1">
      <alignment horizontal="left"/>
    </xf>
    <xf numFmtId="10" fontId="0" fillId="16" borderId="0" xfId="0" applyNumberFormat="1" applyFill="1" applyAlignment="1">
      <alignment horizontal="left"/>
    </xf>
    <xf numFmtId="44" fontId="0" fillId="5" borderId="0" xfId="0" applyNumberFormat="1" applyFill="1" applyAlignment="1">
      <alignment horizontal="left"/>
    </xf>
    <xf numFmtId="0" fontId="0" fillId="5" borderId="0" xfId="0" applyFill="1" applyAlignment="1">
      <alignment horizontal="left"/>
    </xf>
    <xf numFmtId="14" fontId="0" fillId="0" borderId="0" xfId="0" applyNumberFormat="1" applyAlignment="1">
      <alignment horizontal="left"/>
    </xf>
    <xf numFmtId="0" fontId="0" fillId="15" borderId="0" xfId="0" applyFill="1" applyAlignment="1">
      <alignment horizontal="left"/>
    </xf>
    <xf numFmtId="44" fontId="0" fillId="13" borderId="0" xfId="0" applyNumberFormat="1" applyFill="1" applyAlignment="1">
      <alignment horizontal="left"/>
    </xf>
    <xf numFmtId="0" fontId="53" fillId="22" borderId="0" xfId="7" applyFont="1" applyFill="1"/>
    <xf numFmtId="0" fontId="53" fillId="0" borderId="0" xfId="7" applyFont="1"/>
    <xf numFmtId="0" fontId="54" fillId="22" borderId="0" xfId="0" quotePrefix="1" applyFont="1" applyFill="1"/>
    <xf numFmtId="0" fontId="54" fillId="22" borderId="51" xfId="0" applyFont="1" applyFill="1" applyBorder="1" applyAlignment="1">
      <alignment horizontal="left"/>
    </xf>
    <xf numFmtId="0" fontId="53" fillId="22" borderId="52" xfId="0" applyFont="1" applyFill="1" applyBorder="1"/>
    <xf numFmtId="176" fontId="55" fillId="22" borderId="52" xfId="0" applyNumberFormat="1" applyFont="1" applyFill="1" applyBorder="1"/>
    <xf numFmtId="176" fontId="55" fillId="22" borderId="53" xfId="0" applyNumberFormat="1" applyFont="1" applyFill="1" applyBorder="1"/>
    <xf numFmtId="0" fontId="54" fillId="22" borderId="54" xfId="0" applyFont="1" applyFill="1" applyBorder="1" applyAlignment="1">
      <alignment horizontal="left"/>
    </xf>
    <xf numFmtId="0" fontId="53" fillId="22" borderId="0" xfId="0" applyFont="1" applyFill="1"/>
    <xf numFmtId="176" fontId="55" fillId="22" borderId="0" xfId="0" applyNumberFormat="1" applyFont="1" applyFill="1"/>
    <xf numFmtId="0" fontId="53" fillId="22" borderId="51" xfId="0" applyFont="1" applyFill="1" applyBorder="1"/>
    <xf numFmtId="0" fontId="58" fillId="22" borderId="0" xfId="0" applyFont="1" applyFill="1"/>
    <xf numFmtId="0" fontId="58" fillId="22" borderId="56" xfId="0" applyFont="1" applyFill="1" applyBorder="1" applyAlignment="1">
      <alignment vertical="center"/>
    </xf>
    <xf numFmtId="0" fontId="53" fillId="22" borderId="57" xfId="0" applyFont="1" applyFill="1" applyBorder="1"/>
    <xf numFmtId="0" fontId="59" fillId="22" borderId="59" xfId="0" applyFont="1" applyFill="1" applyBorder="1" applyAlignment="1">
      <alignment horizontal="center" wrapText="1"/>
    </xf>
    <xf numFmtId="0" fontId="59" fillId="22" borderId="58" xfId="0" applyFont="1" applyFill="1" applyBorder="1" applyAlignment="1">
      <alignment horizontal="center" wrapText="1"/>
    </xf>
    <xf numFmtId="6" fontId="53" fillId="22" borderId="0" xfId="0" applyNumberFormat="1" applyFont="1" applyFill="1" applyAlignment="1">
      <alignment horizontal="right"/>
    </xf>
    <xf numFmtId="176" fontId="53" fillId="22" borderId="0" xfId="0" applyNumberFormat="1" applyFont="1" applyFill="1" applyAlignment="1">
      <alignment horizontal="right"/>
    </xf>
    <xf numFmtId="42" fontId="53" fillId="22" borderId="0" xfId="6" applyFont="1" applyFill="1" applyBorder="1" applyAlignment="1" applyProtection="1">
      <alignment horizontal="right"/>
    </xf>
    <xf numFmtId="0" fontId="53" fillId="22" borderId="60" xfId="0" applyFont="1" applyFill="1" applyBorder="1"/>
    <xf numFmtId="0" fontId="56" fillId="22" borderId="60" xfId="0" applyFont="1" applyFill="1" applyBorder="1" applyAlignment="1">
      <alignment horizontal="center"/>
    </xf>
    <xf numFmtId="0" fontId="53" fillId="22" borderId="60" xfId="0" applyFont="1" applyFill="1" applyBorder="1" applyAlignment="1">
      <alignment horizontal="left"/>
    </xf>
    <xf numFmtId="0" fontId="53" fillId="22" borderId="60" xfId="0" applyFont="1" applyFill="1" applyBorder="1" applyAlignment="1">
      <alignment horizontal="left" indent="3"/>
    </xf>
    <xf numFmtId="2" fontId="56" fillId="22" borderId="60" xfId="0" applyNumberFormat="1" applyFont="1" applyFill="1" applyBorder="1" applyAlignment="1">
      <alignment horizontal="center"/>
    </xf>
    <xf numFmtId="0" fontId="53" fillId="22" borderId="60" xfId="0" applyFont="1" applyFill="1" applyBorder="1" applyAlignment="1">
      <alignment horizontal="center" vertical="center"/>
    </xf>
    <xf numFmtId="2" fontId="57" fillId="22" borderId="60" xfId="0" applyNumberFormat="1" applyFont="1" applyFill="1" applyBorder="1" applyAlignment="1">
      <alignment horizontal="center"/>
    </xf>
    <xf numFmtId="0" fontId="56" fillId="22" borderId="60" xfId="0" applyFont="1" applyFill="1" applyBorder="1" applyAlignment="1">
      <alignment horizontal="center" vertical="center"/>
    </xf>
    <xf numFmtId="0" fontId="56" fillId="22" borderId="60" xfId="0" applyFont="1" applyFill="1" applyBorder="1" applyAlignment="1">
      <alignment horizontal="left"/>
    </xf>
    <xf numFmtId="0" fontId="53" fillId="22" borderId="62" xfId="0" applyFont="1" applyFill="1" applyBorder="1"/>
    <xf numFmtId="0" fontId="53" fillId="22" borderId="63" xfId="0" applyFont="1" applyFill="1" applyBorder="1"/>
    <xf numFmtId="0" fontId="56" fillId="22" borderId="62" xfId="0" applyFont="1" applyFill="1" applyBorder="1" applyAlignment="1">
      <alignment horizontal="center"/>
    </xf>
    <xf numFmtId="0" fontId="56" fillId="22" borderId="63" xfId="0" applyFont="1" applyFill="1" applyBorder="1" applyAlignment="1">
      <alignment horizontal="center"/>
    </xf>
    <xf numFmtId="0" fontId="58" fillId="22" borderId="61" xfId="0" applyFont="1" applyFill="1" applyBorder="1"/>
    <xf numFmtId="0" fontId="58" fillId="22" borderId="60" xfId="0" applyFont="1" applyFill="1" applyBorder="1"/>
    <xf numFmtId="0" fontId="58" fillId="22" borderId="64" xfId="0" applyFont="1" applyFill="1" applyBorder="1" applyAlignment="1">
      <alignment horizontal="left"/>
    </xf>
    <xf numFmtId="0" fontId="53" fillId="22" borderId="65" xfId="0" applyFont="1" applyFill="1" applyBorder="1" applyAlignment="1">
      <alignment horizontal="left"/>
    </xf>
    <xf numFmtId="164" fontId="53" fillId="22" borderId="66" xfId="2" applyNumberFormat="1" applyFont="1" applyFill="1" applyBorder="1" applyAlignment="1" applyProtection="1">
      <alignment horizontal="right"/>
    </xf>
    <xf numFmtId="9" fontId="53" fillId="22" borderId="66" xfId="2" applyFont="1" applyFill="1" applyBorder="1" applyAlignment="1" applyProtection="1">
      <alignment horizontal="center"/>
    </xf>
    <xf numFmtId="9" fontId="53" fillId="22" borderId="66" xfId="0" applyNumberFormat="1" applyFont="1" applyFill="1" applyBorder="1" applyAlignment="1">
      <alignment horizontal="center"/>
    </xf>
    <xf numFmtId="0" fontId="53" fillId="22" borderId="67" xfId="0" applyFont="1" applyFill="1" applyBorder="1" applyAlignment="1">
      <alignment horizontal="left"/>
    </xf>
    <xf numFmtId="9" fontId="53" fillId="22" borderId="68" xfId="2" applyFont="1" applyFill="1" applyBorder="1" applyAlignment="1" applyProtection="1">
      <alignment horizontal="center"/>
    </xf>
    <xf numFmtId="0" fontId="58" fillId="22" borderId="69" xfId="0" applyFont="1" applyFill="1" applyBorder="1" applyAlignment="1">
      <alignment horizontal="left"/>
    </xf>
    <xf numFmtId="5" fontId="53" fillId="22" borderId="70" xfId="6" applyNumberFormat="1" applyFont="1" applyFill="1" applyBorder="1" applyAlignment="1" applyProtection="1">
      <alignment horizontal="left"/>
    </xf>
    <xf numFmtId="9" fontId="53" fillId="22" borderId="71" xfId="6" applyNumberFormat="1" applyFont="1" applyFill="1" applyBorder="1" applyAlignment="1" applyProtection="1">
      <alignment horizontal="center"/>
    </xf>
    <xf numFmtId="164" fontId="53" fillId="22" borderId="71" xfId="2" applyNumberFormat="1" applyFont="1" applyFill="1" applyBorder="1" applyAlignment="1" applyProtection="1">
      <alignment horizontal="center"/>
    </xf>
    <xf numFmtId="9" fontId="53" fillId="22" borderId="71" xfId="2" applyFont="1" applyFill="1" applyBorder="1" applyAlignment="1" applyProtection="1">
      <alignment horizontal="center"/>
    </xf>
    <xf numFmtId="0" fontId="53" fillId="22" borderId="72" xfId="0" applyFont="1" applyFill="1" applyBorder="1"/>
    <xf numFmtId="0" fontId="53" fillId="7" borderId="0" xfId="0" applyFont="1" applyFill="1"/>
    <xf numFmtId="0" fontId="53" fillId="7" borderId="0" xfId="7" applyFont="1" applyFill="1"/>
    <xf numFmtId="176" fontId="55" fillId="22" borderId="55" xfId="0" applyNumberFormat="1" applyFont="1" applyFill="1" applyBorder="1"/>
    <xf numFmtId="0" fontId="53" fillId="22" borderId="66" xfId="2" applyNumberFormat="1" applyFont="1" applyFill="1" applyBorder="1" applyAlignment="1" applyProtection="1">
      <alignment horizontal="right"/>
    </xf>
    <xf numFmtId="0" fontId="37" fillId="9" borderId="1" xfId="0" applyFont="1" applyFill="1" applyBorder="1" applyAlignment="1">
      <alignment horizontal="center" wrapText="1"/>
    </xf>
    <xf numFmtId="0" fontId="2" fillId="9" borderId="2" xfId="0" applyFont="1" applyFill="1" applyBorder="1" applyAlignment="1">
      <alignment horizontal="center"/>
    </xf>
    <xf numFmtId="0" fontId="2" fillId="9" borderId="4" xfId="0" applyFont="1" applyFill="1" applyBorder="1" applyAlignment="1">
      <alignment horizontal="center"/>
    </xf>
    <xf numFmtId="0" fontId="2" fillId="2" borderId="2" xfId="0" applyFont="1" applyFill="1" applyBorder="1" applyAlignment="1">
      <alignment horizontal="left"/>
    </xf>
    <xf numFmtId="0" fontId="29" fillId="7" borderId="1" xfId="0" applyFont="1" applyFill="1" applyBorder="1" applyAlignment="1">
      <alignment horizontal="left" vertical="center" wrapText="1" indent="1"/>
    </xf>
    <xf numFmtId="0" fontId="37" fillId="9" borderId="1" xfId="0" applyFont="1" applyFill="1" applyBorder="1" applyAlignment="1">
      <alignment horizontal="center" vertical="center" wrapText="1"/>
    </xf>
    <xf numFmtId="165" fontId="0" fillId="20" borderId="4" xfId="0" applyNumberFormat="1" applyFill="1" applyBorder="1"/>
    <xf numFmtId="0" fontId="6" fillId="2" borderId="2" xfId="0" applyFont="1" applyFill="1" applyBorder="1" applyAlignment="1">
      <alignment horizontal="left"/>
    </xf>
    <xf numFmtId="0" fontId="7" fillId="6" borderId="2" xfId="0" applyFont="1" applyFill="1" applyBorder="1" applyAlignment="1">
      <alignment horizontal="left"/>
    </xf>
    <xf numFmtId="0" fontId="10" fillId="7" borderId="0" xfId="3" applyFill="1" applyAlignment="1">
      <alignment horizontal="left"/>
    </xf>
    <xf numFmtId="0" fontId="28" fillId="18" borderId="1" xfId="1" applyNumberFormat="1" applyFont="1" applyFill="1" applyBorder="1" applyAlignment="1" applyProtection="1">
      <alignment horizontal="left"/>
      <protection locked="0"/>
    </xf>
    <xf numFmtId="0" fontId="0" fillId="10" borderId="32" xfId="1" applyNumberFormat="1" applyFont="1" applyFill="1" applyBorder="1" applyAlignment="1" applyProtection="1">
      <alignment horizontal="left"/>
      <protection locked="0"/>
    </xf>
    <xf numFmtId="0" fontId="38" fillId="3" borderId="14" xfId="0" applyFont="1" applyFill="1" applyBorder="1" applyAlignment="1">
      <alignment horizontal="left"/>
    </xf>
    <xf numFmtId="0" fontId="12" fillId="3" borderId="18" xfId="0" applyFont="1" applyFill="1" applyBorder="1" applyAlignment="1">
      <alignment horizontal="left"/>
    </xf>
    <xf numFmtId="0" fontId="18" fillId="3" borderId="0" xfId="0" applyFont="1" applyFill="1" applyAlignment="1">
      <alignment horizontal="left"/>
    </xf>
    <xf numFmtId="49" fontId="0" fillId="5" borderId="1" xfId="2" applyNumberFormat="1" applyFont="1" applyFill="1" applyBorder="1" applyAlignment="1" applyProtection="1">
      <alignment horizontal="left"/>
    </xf>
    <xf numFmtId="0" fontId="2" fillId="9" borderId="1" xfId="0" applyFont="1" applyFill="1" applyBorder="1" applyAlignment="1">
      <alignment horizontal="center" vertical="center"/>
    </xf>
    <xf numFmtId="0" fontId="2" fillId="9" borderId="2" xfId="0" applyFont="1" applyFill="1" applyBorder="1" applyAlignment="1">
      <alignment horizontal="center" vertical="center"/>
    </xf>
    <xf numFmtId="0" fontId="0" fillId="5" borderId="14" xfId="0" applyFill="1" applyBorder="1" applyAlignment="1">
      <alignment horizontal="left"/>
    </xf>
    <xf numFmtId="0" fontId="0" fillId="5" borderId="18" xfId="0" applyFill="1" applyBorder="1" applyAlignment="1">
      <alignment horizontal="left"/>
    </xf>
    <xf numFmtId="0" fontId="0" fillId="5" borderId="30" xfId="0" applyFill="1" applyBorder="1" applyAlignment="1">
      <alignment horizontal="left"/>
    </xf>
    <xf numFmtId="0" fontId="0" fillId="5" borderId="28" xfId="0" applyFill="1" applyBorder="1" applyAlignment="1">
      <alignment horizontal="center"/>
    </xf>
    <xf numFmtId="0" fontId="0" fillId="5" borderId="29" xfId="0" applyFill="1" applyBorder="1" applyAlignment="1">
      <alignment horizontal="center"/>
    </xf>
    <xf numFmtId="169" fontId="0" fillId="5" borderId="1" xfId="4" applyNumberFormat="1" applyFont="1" applyFill="1" applyBorder="1"/>
    <xf numFmtId="169" fontId="0" fillId="8" borderId="1" xfId="4" applyNumberFormat="1" applyFont="1" applyFill="1" applyBorder="1" applyAlignment="1" applyProtection="1">
      <alignment horizontal="center"/>
      <protection locked="0"/>
    </xf>
    <xf numFmtId="0" fontId="29" fillId="7" borderId="0" xfId="0" applyFont="1" applyFill="1" applyAlignment="1">
      <alignment horizontal="left"/>
    </xf>
    <xf numFmtId="169" fontId="5" fillId="5" borderId="1" xfId="4" applyNumberFormat="1" applyFont="1" applyFill="1" applyBorder="1" applyAlignment="1" applyProtection="1"/>
    <xf numFmtId="0" fontId="0" fillId="10" borderId="1" xfId="1" applyNumberFormat="1" applyFont="1" applyFill="1" applyBorder="1" applyAlignment="1" applyProtection="1">
      <protection locked="0"/>
    </xf>
    <xf numFmtId="10" fontId="0" fillId="5" borderId="32" xfId="1" applyNumberFormat="1" applyFont="1" applyFill="1" applyBorder="1" applyAlignment="1" applyProtection="1">
      <alignment horizontal="left"/>
    </xf>
    <xf numFmtId="9" fontId="5" fillId="5" borderId="1" xfId="2" applyFont="1" applyFill="1" applyBorder="1" applyAlignment="1" applyProtection="1"/>
    <xf numFmtId="9" fontId="0" fillId="3" borderId="1" xfId="2" applyFont="1" applyFill="1" applyBorder="1" applyProtection="1"/>
    <xf numFmtId="0" fontId="63" fillId="0" borderId="0" xfId="0" applyFont="1"/>
    <xf numFmtId="165" fontId="0" fillId="5" borderId="1" xfId="0" applyNumberFormat="1" applyFill="1" applyBorder="1"/>
    <xf numFmtId="165" fontId="0" fillId="5" borderId="1" xfId="1" applyNumberFormat="1" applyFont="1" applyFill="1" applyBorder="1" applyProtection="1"/>
    <xf numFmtId="165" fontId="0" fillId="8" borderId="1" xfId="1" applyNumberFormat="1" applyFont="1" applyFill="1" applyBorder="1" applyProtection="1">
      <protection locked="0"/>
    </xf>
    <xf numFmtId="165" fontId="2" fillId="9" borderId="1" xfId="0" applyNumberFormat="1" applyFont="1" applyFill="1" applyBorder="1"/>
    <xf numFmtId="49" fontId="19" fillId="8" borderId="59" xfId="1" applyNumberFormat="1" applyFont="1" applyFill="1" applyBorder="1" applyProtection="1">
      <protection locked="0"/>
    </xf>
    <xf numFmtId="0" fontId="51" fillId="6" borderId="18" xfId="0" applyFont="1" applyFill="1" applyBorder="1" applyAlignment="1">
      <alignment vertical="top"/>
    </xf>
    <xf numFmtId="165" fontId="0" fillId="24" borderId="19" xfId="1" applyNumberFormat="1" applyFont="1" applyFill="1" applyBorder="1" applyProtection="1"/>
    <xf numFmtId="49" fontId="19" fillId="10" borderId="1" xfId="1" applyNumberFormat="1" applyFont="1" applyFill="1" applyBorder="1" applyProtection="1">
      <protection locked="0"/>
    </xf>
    <xf numFmtId="165" fontId="19" fillId="8" borderId="1" xfId="1" applyNumberFormat="1" applyFont="1" applyFill="1" applyBorder="1" applyProtection="1">
      <protection locked="0"/>
    </xf>
    <xf numFmtId="165" fontId="19" fillId="8" borderId="59" xfId="1" applyNumberFormat="1" applyFont="1" applyFill="1" applyBorder="1" applyProtection="1">
      <protection locked="0"/>
    </xf>
    <xf numFmtId="0" fontId="0" fillId="7" borderId="18" xfId="0" applyFill="1" applyBorder="1" applyProtection="1">
      <protection locked="0"/>
    </xf>
    <xf numFmtId="0" fontId="0" fillId="20" borderId="0" xfId="0" applyFill="1" applyProtection="1">
      <protection locked="0"/>
    </xf>
    <xf numFmtId="0" fontId="0" fillId="20" borderId="18" xfId="0" applyFill="1" applyBorder="1" applyProtection="1">
      <protection locked="0"/>
    </xf>
    <xf numFmtId="0" fontId="0" fillId="20" borderId="40" xfId="0" applyFill="1" applyBorder="1" applyProtection="1">
      <protection locked="0"/>
    </xf>
    <xf numFmtId="0" fontId="21" fillId="20" borderId="0" xfId="0" applyFont="1" applyFill="1" applyProtection="1">
      <protection locked="0"/>
    </xf>
    <xf numFmtId="0" fontId="0" fillId="20" borderId="0" xfId="0" applyFill="1" applyAlignment="1" applyProtection="1">
      <alignment horizontal="right"/>
      <protection locked="0"/>
    </xf>
    <xf numFmtId="0" fontId="0" fillId="7" borderId="3" xfId="0" applyFill="1" applyBorder="1"/>
    <xf numFmtId="0" fontId="18" fillId="7" borderId="0" xfId="0" applyFont="1" applyFill="1" applyAlignment="1">
      <alignment wrapText="1"/>
    </xf>
    <xf numFmtId="0" fontId="33" fillId="7" borderId="0" xfId="0" applyFont="1" applyFill="1"/>
    <xf numFmtId="165" fontId="0" fillId="14" borderId="1" xfId="0" applyNumberFormat="1" applyFill="1" applyBorder="1"/>
    <xf numFmtId="2" fontId="53" fillId="22" borderId="60" xfId="0" applyNumberFormat="1" applyFont="1" applyFill="1" applyBorder="1" applyAlignment="1">
      <alignment horizontal="center" vertical="center"/>
    </xf>
    <xf numFmtId="165" fontId="0" fillId="20" borderId="1" xfId="0" applyNumberFormat="1" applyFill="1" applyBorder="1"/>
    <xf numFmtId="172" fontId="0" fillId="18" borderId="1" xfId="2" applyNumberFormat="1" applyFont="1" applyFill="1" applyBorder="1" applyAlignment="1">
      <alignment horizontal="center"/>
    </xf>
    <xf numFmtId="44" fontId="0" fillId="18" borderId="1" xfId="1" applyFont="1" applyFill="1" applyBorder="1" applyAlignment="1">
      <alignment horizontal="center"/>
    </xf>
    <xf numFmtId="0" fontId="0" fillId="18" borderId="1" xfId="1" applyNumberFormat="1" applyFont="1" applyFill="1" applyBorder="1" applyAlignment="1">
      <alignment horizontal="center"/>
    </xf>
    <xf numFmtId="0" fontId="23" fillId="5" borderId="1" xfId="0" applyFont="1" applyFill="1" applyBorder="1"/>
    <xf numFmtId="0" fontId="24" fillId="5" borderId="1" xfId="0" applyFont="1" applyFill="1" applyBorder="1"/>
    <xf numFmtId="1" fontId="5" fillId="7" borderId="0" xfId="0" applyNumberFormat="1" applyFont="1" applyFill="1" applyAlignment="1">
      <alignment horizontal="right" wrapText="1"/>
    </xf>
    <xf numFmtId="44" fontId="0" fillId="18" borderId="1" xfId="0" applyNumberFormat="1" applyFill="1" applyBorder="1"/>
    <xf numFmtId="9" fontId="0" fillId="18" borderId="1" xfId="2" applyFont="1" applyFill="1" applyBorder="1" applyProtection="1"/>
    <xf numFmtId="44" fontId="0" fillId="5" borderId="1" xfId="1" applyFont="1" applyFill="1" applyBorder="1" applyAlignment="1" applyProtection="1"/>
    <xf numFmtId="42" fontId="0" fillId="24" borderId="1" xfId="0" applyNumberFormat="1" applyFill="1" applyBorder="1"/>
    <xf numFmtId="44" fontId="0" fillId="24" borderId="1" xfId="1" applyFont="1" applyFill="1" applyBorder="1"/>
    <xf numFmtId="9" fontId="0" fillId="24" borderId="1" xfId="2" applyFont="1" applyFill="1" applyBorder="1" applyProtection="1"/>
    <xf numFmtId="0" fontId="3" fillId="24" borderId="1" xfId="0" applyFont="1" applyFill="1" applyBorder="1" applyAlignment="1">
      <alignment horizontal="left"/>
    </xf>
    <xf numFmtId="0" fontId="66" fillId="7" borderId="0" xfId="0" applyFont="1" applyFill="1"/>
    <xf numFmtId="9" fontId="0" fillId="5" borderId="1" xfId="2" applyFont="1" applyFill="1" applyBorder="1" applyProtection="1"/>
    <xf numFmtId="165" fontId="0" fillId="5" borderId="1" xfId="0" applyNumberFormat="1" applyFill="1" applyBorder="1" applyAlignment="1">
      <alignment horizontal="left"/>
    </xf>
    <xf numFmtId="44" fontId="0" fillId="5" borderId="1" xfId="0" applyNumberFormat="1" applyFill="1" applyBorder="1" applyAlignment="1">
      <alignment horizontal="left"/>
    </xf>
    <xf numFmtId="0" fontId="3" fillId="8" borderId="1" xfId="0" applyFont="1" applyFill="1" applyBorder="1"/>
    <xf numFmtId="0" fontId="3" fillId="10" borderId="1" xfId="0" applyFont="1" applyFill="1" applyBorder="1"/>
    <xf numFmtId="0" fontId="3" fillId="5" borderId="1" xfId="0" applyFont="1" applyFill="1" applyBorder="1"/>
    <xf numFmtId="0" fontId="3" fillId="18" borderId="1" xfId="0" applyFont="1" applyFill="1" applyBorder="1"/>
    <xf numFmtId="0" fontId="0" fillId="20" borderId="1" xfId="0" applyFill="1" applyBorder="1" applyAlignment="1">
      <alignment horizontal="center"/>
    </xf>
    <xf numFmtId="9" fontId="0" fillId="20" borderId="1" xfId="2" applyFont="1" applyFill="1" applyBorder="1" applyAlignment="1" applyProtection="1">
      <alignment horizontal="center"/>
    </xf>
    <xf numFmtId="165" fontId="0" fillId="20" borderId="1" xfId="1" applyNumberFormat="1" applyFont="1" applyFill="1" applyBorder="1" applyAlignment="1" applyProtection="1">
      <alignment horizontal="center"/>
    </xf>
    <xf numFmtId="165" fontId="0" fillId="20" borderId="1" xfId="0" applyNumberFormat="1" applyFill="1" applyBorder="1" applyAlignment="1">
      <alignment horizontal="center"/>
    </xf>
    <xf numFmtId="0" fontId="29" fillId="7" borderId="0" xfId="0" applyFont="1" applyFill="1" applyAlignment="1" applyProtection="1">
      <alignment horizontal="left" vertical="top" wrapText="1"/>
      <protection locked="0"/>
    </xf>
    <xf numFmtId="9" fontId="2" fillId="2" borderId="1" xfId="2" applyFont="1" applyFill="1" applyBorder="1" applyAlignment="1" applyProtection="1">
      <alignment horizontal="center"/>
    </xf>
    <xf numFmtId="44" fontId="2" fillId="2" borderId="1" xfId="1" applyFont="1" applyFill="1" applyBorder="1" applyAlignment="1" applyProtection="1">
      <alignment horizontal="center"/>
    </xf>
    <xf numFmtId="44" fontId="2" fillId="2" borderId="1" xfId="0" applyNumberFormat="1" applyFont="1" applyFill="1" applyBorder="1"/>
    <xf numFmtId="165" fontId="2" fillId="2" borderId="1" xfId="1" applyNumberFormat="1" applyFont="1" applyFill="1" applyBorder="1" applyAlignment="1" applyProtection="1">
      <alignment horizontal="center"/>
    </xf>
    <xf numFmtId="0" fontId="67" fillId="7" borderId="0" xfId="0" applyFont="1" applyFill="1"/>
    <xf numFmtId="0" fontId="68" fillId="7" borderId="0" xfId="0" applyFont="1" applyFill="1" applyAlignment="1">
      <alignment horizontal="left"/>
    </xf>
    <xf numFmtId="0" fontId="28" fillId="2" borderId="5" xfId="0" applyFont="1" applyFill="1" applyBorder="1" applyAlignment="1">
      <alignment horizontal="left"/>
    </xf>
    <xf numFmtId="0" fontId="28" fillId="2" borderId="5" xfId="0" applyFont="1" applyFill="1" applyBorder="1" applyAlignment="1">
      <alignment horizontal="left" wrapText="1"/>
    </xf>
    <xf numFmtId="0" fontId="49" fillId="2" borderId="14" xfId="0" applyFont="1" applyFill="1" applyBorder="1" applyAlignment="1">
      <alignment horizontal="left"/>
    </xf>
    <xf numFmtId="0" fontId="0" fillId="7" borderId="0" xfId="0" applyFill="1" applyAlignment="1" applyProtection="1">
      <alignment vertical="top"/>
      <protection locked="0"/>
    </xf>
    <xf numFmtId="0" fontId="0" fillId="8" borderId="1" xfId="0" applyFill="1" applyBorder="1" applyAlignment="1" applyProtection="1">
      <alignment vertical="top"/>
      <protection locked="0"/>
    </xf>
    <xf numFmtId="0" fontId="3" fillId="8" borderId="1" xfId="0" applyFont="1" applyFill="1" applyBorder="1" applyProtection="1">
      <protection locked="0"/>
    </xf>
    <xf numFmtId="0" fontId="0" fillId="6" borderId="1" xfId="0" applyFill="1" applyBorder="1" applyProtection="1">
      <protection locked="0"/>
    </xf>
    <xf numFmtId="0" fontId="0" fillId="6" borderId="1" xfId="0" applyFill="1" applyBorder="1"/>
    <xf numFmtId="0" fontId="28" fillId="2" borderId="72" xfId="0" applyFont="1" applyFill="1" applyBorder="1" applyAlignment="1">
      <alignment horizontal="left"/>
    </xf>
    <xf numFmtId="0" fontId="28" fillId="2" borderId="0" xfId="0" applyFont="1" applyFill="1" applyAlignment="1">
      <alignment horizontal="left"/>
    </xf>
    <xf numFmtId="0" fontId="29" fillId="7" borderId="0" xfId="0" applyFont="1" applyFill="1" applyAlignment="1" applyProtection="1">
      <alignment vertical="top"/>
      <protection locked="0"/>
    </xf>
    <xf numFmtId="0" fontId="29" fillId="7" borderId="0" xfId="0" applyFont="1" applyFill="1"/>
    <xf numFmtId="0" fontId="0" fillId="7" borderId="40" xfId="0" applyFill="1" applyBorder="1" applyAlignment="1" applyProtection="1">
      <alignment vertical="top"/>
      <protection locked="0"/>
    </xf>
    <xf numFmtId="0" fontId="0" fillId="7" borderId="0" xfId="0" applyFill="1" applyAlignment="1" applyProtection="1">
      <alignment horizontal="left" vertical="top"/>
      <protection locked="0"/>
    </xf>
    <xf numFmtId="0" fontId="0" fillId="7" borderId="40" xfId="0" applyFill="1" applyBorder="1" applyAlignment="1" applyProtection="1">
      <alignment horizontal="left" vertical="top"/>
      <protection locked="0"/>
    </xf>
    <xf numFmtId="0" fontId="29" fillId="7" borderId="0" xfId="0" applyFont="1" applyFill="1" applyAlignment="1" applyProtection="1">
      <alignment horizontal="left" vertical="top"/>
      <protection locked="0"/>
    </xf>
    <xf numFmtId="0" fontId="0" fillId="7" borderId="0" xfId="0" applyFill="1" applyAlignment="1" applyProtection="1">
      <alignment horizontal="right" vertical="top"/>
      <protection locked="0"/>
    </xf>
    <xf numFmtId="0" fontId="29" fillId="10" borderId="1" xfId="0" applyFont="1" applyFill="1" applyBorder="1" applyProtection="1">
      <protection locked="0"/>
    </xf>
    <xf numFmtId="0" fontId="29" fillId="7" borderId="0" xfId="0" applyFont="1" applyFill="1" applyAlignment="1">
      <alignment horizontal="left" vertical="top" wrapText="1"/>
    </xf>
    <xf numFmtId="10" fontId="0" fillId="10" borderId="1" xfId="2" applyNumberFormat="1" applyFont="1" applyFill="1" applyBorder="1" applyProtection="1">
      <protection locked="0"/>
    </xf>
    <xf numFmtId="0" fontId="69" fillId="6" borderId="3" xfId="0" applyFont="1" applyFill="1" applyBorder="1" applyProtection="1">
      <protection locked="0"/>
    </xf>
    <xf numFmtId="0" fontId="27" fillId="7" borderId="18" xfId="8" applyFont="1" applyFill="1" applyBorder="1" applyAlignment="1">
      <alignment vertical="center"/>
    </xf>
    <xf numFmtId="0" fontId="45" fillId="7" borderId="0" xfId="0" applyFont="1" applyFill="1" applyProtection="1">
      <protection locked="0"/>
    </xf>
    <xf numFmtId="0" fontId="5" fillId="7" borderId="0" xfId="0" applyFont="1" applyFill="1" applyProtection="1">
      <protection locked="0"/>
    </xf>
    <xf numFmtId="0" fontId="5" fillId="0" borderId="0" xfId="0" applyFont="1" applyProtection="1">
      <protection locked="0"/>
    </xf>
    <xf numFmtId="0" fontId="4" fillId="7" borderId="5" xfId="0" applyFont="1" applyFill="1" applyBorder="1" applyAlignment="1" applyProtection="1">
      <alignment vertical="top" wrapText="1"/>
      <protection locked="0"/>
    </xf>
    <xf numFmtId="0" fontId="27" fillId="24" borderId="1" xfId="8" applyFont="1" applyFill="1" applyBorder="1" applyAlignment="1">
      <alignment horizontal="center" vertical="center"/>
    </xf>
    <xf numFmtId="0" fontId="4" fillId="2" borderId="2" xfId="0" applyFont="1" applyFill="1" applyBorder="1" applyAlignment="1" applyProtection="1">
      <alignment horizontal="left" wrapText="1"/>
      <protection locked="0"/>
    </xf>
    <xf numFmtId="0" fontId="4" fillId="2" borderId="3" xfId="0" applyFont="1" applyFill="1" applyBorder="1" applyAlignment="1" applyProtection="1">
      <alignment horizontal="left" wrapText="1"/>
      <protection locked="0"/>
    </xf>
    <xf numFmtId="0" fontId="4" fillId="2" borderId="3" xfId="0" applyFont="1" applyFill="1" applyBorder="1" applyAlignment="1" applyProtection="1">
      <alignment wrapText="1"/>
      <protection locked="0"/>
    </xf>
    <xf numFmtId="0" fontId="2" fillId="2" borderId="3" xfId="0" applyFont="1" applyFill="1" applyBorder="1" applyAlignment="1" applyProtection="1">
      <alignment horizontal="right" wrapText="1"/>
      <protection locked="0"/>
    </xf>
    <xf numFmtId="0" fontId="4" fillId="7" borderId="40" xfId="0" applyFont="1" applyFill="1" applyBorder="1" applyAlignment="1" applyProtection="1">
      <alignment vertical="top" wrapText="1"/>
      <protection locked="0"/>
    </xf>
    <xf numFmtId="0" fontId="0" fillId="7" borderId="0" xfId="0" applyFill="1" applyAlignment="1" applyProtection="1">
      <alignment vertical="top" wrapText="1"/>
      <protection locked="0"/>
    </xf>
    <xf numFmtId="0" fontId="0" fillId="31" borderId="1" xfId="0" applyFill="1" applyBorder="1"/>
    <xf numFmtId="0" fontId="3" fillId="7" borderId="0" xfId="0" applyFont="1" applyFill="1" applyAlignment="1" applyProtection="1">
      <alignment horizontal="left" vertical="top" wrapText="1" indent="1"/>
      <protection locked="0"/>
    </xf>
    <xf numFmtId="0" fontId="3" fillId="7" borderId="0" xfId="0" applyFont="1" applyFill="1" applyAlignment="1" applyProtection="1">
      <alignment horizontal="left" vertical="top" indent="1"/>
      <protection locked="0"/>
    </xf>
    <xf numFmtId="0" fontId="10" fillId="7" borderId="0" xfId="3" applyFill="1" applyProtection="1">
      <protection locked="0"/>
    </xf>
    <xf numFmtId="0" fontId="28" fillId="7" borderId="0" xfId="0" applyFont="1" applyFill="1" applyProtection="1">
      <protection locked="0"/>
    </xf>
    <xf numFmtId="0" fontId="4" fillId="7" borderId="3" xfId="0" applyFont="1" applyFill="1" applyBorder="1" applyAlignment="1" applyProtection="1">
      <alignment vertical="top" wrapText="1"/>
      <protection locked="0"/>
    </xf>
    <xf numFmtId="0" fontId="3" fillId="22" borderId="14" xfId="0" applyFont="1" applyFill="1" applyBorder="1" applyAlignment="1" applyProtection="1">
      <alignment vertical="top"/>
      <protection locked="0"/>
    </xf>
    <xf numFmtId="0" fontId="0" fillId="22" borderId="5" xfId="0" applyFill="1" applyBorder="1" applyAlignment="1" applyProtection="1">
      <alignment vertical="top" wrapText="1"/>
      <protection locked="0"/>
    </xf>
    <xf numFmtId="0" fontId="0" fillId="22" borderId="28" xfId="0" applyFill="1" applyBorder="1" applyAlignment="1" applyProtection="1">
      <alignment vertical="top" wrapText="1"/>
      <protection locked="0"/>
    </xf>
    <xf numFmtId="0" fontId="0" fillId="19" borderId="1" xfId="0" applyFill="1" applyBorder="1" applyProtection="1">
      <protection locked="0"/>
    </xf>
    <xf numFmtId="177" fontId="0" fillId="19" borderId="1" xfId="1" applyNumberFormat="1" applyFont="1" applyFill="1" applyBorder="1" applyProtection="1">
      <protection locked="0"/>
    </xf>
    <xf numFmtId="177" fontId="0" fillId="7" borderId="0" xfId="1" applyNumberFormat="1" applyFont="1" applyFill="1" applyBorder="1" applyProtection="1">
      <protection locked="0"/>
    </xf>
    <xf numFmtId="0" fontId="51" fillId="7" borderId="0" xfId="0" applyFont="1" applyFill="1"/>
    <xf numFmtId="0" fontId="19" fillId="7" borderId="0" xfId="0" applyFont="1" applyFill="1" applyProtection="1">
      <protection locked="0"/>
    </xf>
    <xf numFmtId="0" fontId="19" fillId="10" borderId="1" xfId="1" applyNumberFormat="1" applyFont="1" applyFill="1" applyBorder="1" applyProtection="1">
      <protection locked="0"/>
    </xf>
    <xf numFmtId="1" fontId="0" fillId="14" borderId="1" xfId="0" applyNumberFormat="1" applyFill="1" applyBorder="1" applyAlignment="1">
      <alignment horizontal="right"/>
    </xf>
    <xf numFmtId="1" fontId="0" fillId="14" borderId="1" xfId="1" applyNumberFormat="1" applyFont="1" applyFill="1" applyBorder="1" applyProtection="1"/>
    <xf numFmtId="0" fontId="0" fillId="31" borderId="2" xfId="0" applyFill="1" applyBorder="1" applyAlignment="1">
      <alignment horizontal="center"/>
    </xf>
    <xf numFmtId="44" fontId="0" fillId="31" borderId="1" xfId="1" applyFont="1" applyFill="1" applyBorder="1" applyAlignment="1" applyProtection="1">
      <alignment horizontal="left"/>
    </xf>
    <xf numFmtId="0" fontId="0" fillId="19" borderId="1" xfId="0" applyFill="1" applyBorder="1" applyAlignment="1" applyProtection="1">
      <alignment horizontal="left"/>
      <protection locked="0"/>
    </xf>
    <xf numFmtId="177" fontId="0" fillId="19" borderId="1" xfId="1" applyNumberFormat="1" applyFont="1" applyFill="1" applyBorder="1" applyAlignment="1" applyProtection="1">
      <alignment horizontal="left"/>
      <protection locked="0"/>
    </xf>
    <xf numFmtId="177" fontId="0" fillId="31" borderId="1" xfId="0" applyNumberFormat="1" applyFill="1" applyBorder="1"/>
    <xf numFmtId="0" fontId="0" fillId="31" borderId="1" xfId="1" applyNumberFormat="1" applyFont="1" applyFill="1" applyBorder="1" applyAlignment="1" applyProtection="1">
      <alignment horizontal="left"/>
    </xf>
    <xf numFmtId="1" fontId="2" fillId="2" borderId="4" xfId="0" applyNumberFormat="1" applyFont="1" applyFill="1" applyBorder="1"/>
    <xf numFmtId="1" fontId="0" fillId="31" borderId="1" xfId="0" applyNumberFormat="1" applyFill="1" applyBorder="1"/>
    <xf numFmtId="9" fontId="0" fillId="31" borderId="1" xfId="2" applyFont="1" applyFill="1" applyBorder="1" applyProtection="1"/>
    <xf numFmtId="9" fontId="0" fillId="31" borderId="1" xfId="2" applyFont="1" applyFill="1" applyBorder="1" applyAlignment="1" applyProtection="1">
      <alignment horizontal="right"/>
    </xf>
    <xf numFmtId="0" fontId="0" fillId="10" borderId="59" xfId="1" applyNumberFormat="1" applyFont="1" applyFill="1" applyBorder="1" applyAlignment="1" applyProtection="1">
      <alignment horizontal="left"/>
      <protection locked="0"/>
    </xf>
    <xf numFmtId="0" fontId="10" fillId="7" borderId="0" xfId="3" applyFill="1" applyBorder="1" applyAlignment="1">
      <alignment horizontal="left"/>
    </xf>
    <xf numFmtId="0" fontId="15" fillId="7" borderId="18" xfId="0" applyFont="1" applyFill="1" applyBorder="1" applyAlignment="1">
      <alignment wrapText="1"/>
    </xf>
    <xf numFmtId="0" fontId="5" fillId="5" borderId="1" xfId="2" applyNumberFormat="1" applyFont="1" applyFill="1" applyBorder="1" applyAlignment="1" applyProtection="1"/>
    <xf numFmtId="0" fontId="5" fillId="5" borderId="59" xfId="0" applyFont="1" applyFill="1" applyBorder="1"/>
    <xf numFmtId="9" fontId="5" fillId="5" borderId="56" xfId="2" applyFont="1" applyFill="1" applyBorder="1" applyAlignment="1" applyProtection="1"/>
    <xf numFmtId="0" fontId="5" fillId="7" borderId="57" xfId="0" applyFont="1" applyFill="1" applyBorder="1"/>
    <xf numFmtId="0" fontId="0" fillId="13" borderId="73" xfId="0" applyFill="1" applyBorder="1"/>
    <xf numFmtId="9" fontId="1" fillId="13" borderId="59" xfId="2" applyFont="1" applyFill="1" applyBorder="1" applyProtection="1"/>
    <xf numFmtId="0" fontId="45" fillId="7" borderId="29" xfId="0" applyFont="1" applyFill="1" applyBorder="1"/>
    <xf numFmtId="0" fontId="1" fillId="3" borderId="1" xfId="1" applyNumberFormat="1" applyFont="1" applyFill="1" applyBorder="1" applyProtection="1"/>
    <xf numFmtId="1" fontId="1" fillId="3" borderId="1" xfId="1" applyNumberFormat="1" applyFont="1" applyFill="1" applyBorder="1" applyProtection="1"/>
    <xf numFmtId="9" fontId="0" fillId="4" borderId="9" xfId="0" applyNumberFormat="1" applyFill="1" applyBorder="1"/>
    <xf numFmtId="164" fontId="0" fillId="4" borderId="0" xfId="2" applyNumberFormat="1" applyFont="1" applyFill="1" applyBorder="1" applyAlignment="1" applyProtection="1">
      <alignment horizontal="center"/>
    </xf>
    <xf numFmtId="164" fontId="0" fillId="4" borderId="12" xfId="2" applyNumberFormat="1" applyFont="1" applyFill="1" applyBorder="1" applyAlignment="1" applyProtection="1">
      <alignment horizontal="center"/>
    </xf>
    <xf numFmtId="0" fontId="60" fillId="4" borderId="0" xfId="0" applyFont="1" applyFill="1" applyAlignment="1">
      <alignment horizontal="center"/>
    </xf>
    <xf numFmtId="9" fontId="13" fillId="4" borderId="0" xfId="2" applyFont="1" applyFill="1" applyBorder="1" applyAlignment="1" applyProtection="1">
      <alignment horizontal="center" wrapText="1"/>
    </xf>
    <xf numFmtId="0" fontId="13" fillId="4" borderId="0" xfId="0" applyFont="1" applyFill="1" applyAlignment="1">
      <alignment horizontal="center" wrapText="1"/>
    </xf>
    <xf numFmtId="3" fontId="0" fillId="4" borderId="10" xfId="0" applyNumberFormat="1" applyFill="1" applyBorder="1" applyAlignment="1">
      <alignment horizontal="center"/>
    </xf>
    <xf numFmtId="0" fontId="13" fillId="4" borderId="10" xfId="0" applyFont="1" applyFill="1" applyBorder="1" applyAlignment="1">
      <alignment horizontal="center" wrapText="1"/>
    </xf>
    <xf numFmtId="0" fontId="0" fillId="7" borderId="0" xfId="0" applyFill="1" applyAlignment="1">
      <alignment vertical="center" wrapText="1"/>
    </xf>
    <xf numFmtId="0" fontId="0" fillId="32" borderId="59" xfId="1" applyNumberFormat="1" applyFont="1" applyFill="1" applyBorder="1" applyAlignment="1" applyProtection="1">
      <alignment horizontal="left"/>
      <protection locked="0"/>
    </xf>
    <xf numFmtId="0" fontId="0" fillId="3" borderId="29" xfId="0" applyFill="1" applyBorder="1" applyAlignment="1">
      <alignment vertical="top"/>
    </xf>
    <xf numFmtId="0" fontId="51" fillId="3" borderId="0" xfId="0" applyFont="1" applyFill="1" applyAlignment="1">
      <alignment vertical="top"/>
    </xf>
    <xf numFmtId="0" fontId="0" fillId="3" borderId="74" xfId="0" applyFill="1" applyBorder="1"/>
    <xf numFmtId="0" fontId="61" fillId="3" borderId="29" xfId="0" applyFont="1" applyFill="1" applyBorder="1" applyAlignment="1">
      <alignment horizontal="left"/>
    </xf>
    <xf numFmtId="0" fontId="61" fillId="3" borderId="0" xfId="0" applyFont="1" applyFill="1" applyAlignment="1">
      <alignment horizontal="left"/>
    </xf>
    <xf numFmtId="0" fontId="0" fillId="7" borderId="74" xfId="0" applyFill="1" applyBorder="1" applyAlignment="1" applyProtection="1">
      <alignment horizontal="left" vertical="top" wrapText="1"/>
      <protection locked="0"/>
    </xf>
    <xf numFmtId="0" fontId="8" fillId="7" borderId="0" xfId="0" applyFont="1" applyFill="1" applyAlignment="1">
      <alignment horizontal="left" vertical="center"/>
    </xf>
    <xf numFmtId="0" fontId="8" fillId="7" borderId="0" xfId="0" applyFont="1" applyFill="1" applyAlignment="1">
      <alignment vertical="center"/>
    </xf>
    <xf numFmtId="42" fontId="0" fillId="7" borderId="0" xfId="0" applyNumberFormat="1" applyFill="1" applyAlignment="1">
      <alignment vertical="center"/>
    </xf>
    <xf numFmtId="0" fontId="0" fillId="7" borderId="0" xfId="0" applyFill="1" applyAlignment="1">
      <alignment horizontal="right" vertical="center"/>
    </xf>
    <xf numFmtId="44" fontId="0" fillId="7" borderId="0" xfId="1" applyFont="1" applyFill="1" applyAlignment="1">
      <alignment vertical="center"/>
    </xf>
    <xf numFmtId="0" fontId="0" fillId="7" borderId="0" xfId="0" applyFill="1" applyAlignment="1">
      <alignment horizontal="left" vertical="center"/>
    </xf>
    <xf numFmtId="0" fontId="5" fillId="7" borderId="0" xfId="0" applyFont="1" applyFill="1" applyAlignment="1">
      <alignment horizontal="left" vertical="center" wrapText="1"/>
    </xf>
    <xf numFmtId="0" fontId="5" fillId="7" borderId="0" xfId="0" applyFont="1" applyFill="1" applyAlignment="1">
      <alignment vertical="center"/>
    </xf>
    <xf numFmtId="0" fontId="4" fillId="7" borderId="0" xfId="0" applyFont="1" applyFill="1" applyAlignment="1">
      <alignment horizontal="left" vertical="center" wrapText="1"/>
    </xf>
    <xf numFmtId="0" fontId="63" fillId="7" borderId="0" xfId="0" applyFont="1" applyFill="1"/>
    <xf numFmtId="0" fontId="73" fillId="7" borderId="0" xfId="0" applyFont="1" applyFill="1"/>
    <xf numFmtId="0" fontId="1" fillId="5" borderId="1" xfId="1" applyNumberFormat="1" applyFont="1" applyFill="1" applyBorder="1" applyProtection="1"/>
    <xf numFmtId="0" fontId="16" fillId="7" borderId="0" xfId="3" applyFont="1" applyFill="1" applyBorder="1" applyAlignment="1" applyProtection="1">
      <alignment vertical="center"/>
    </xf>
    <xf numFmtId="0" fontId="76" fillId="7" borderId="0" xfId="0" applyFont="1" applyFill="1" applyAlignment="1">
      <alignment horizontal="left"/>
    </xf>
    <xf numFmtId="0" fontId="74" fillId="6" borderId="14" xfId="3" applyFont="1" applyFill="1" applyBorder="1"/>
    <xf numFmtId="0" fontId="5" fillId="2" borderId="72" xfId="0" applyFont="1" applyFill="1" applyBorder="1" applyAlignment="1">
      <alignment horizontal="center"/>
    </xf>
    <xf numFmtId="0" fontId="5" fillId="2" borderId="72" xfId="0" applyFont="1" applyFill="1" applyBorder="1"/>
    <xf numFmtId="164" fontId="5" fillId="2" borderId="72" xfId="2" applyNumberFormat="1" applyFont="1" applyFill="1" applyBorder="1" applyAlignment="1" applyProtection="1">
      <alignment horizontal="center"/>
    </xf>
    <xf numFmtId="0" fontId="0" fillId="6" borderId="23" xfId="0" applyFill="1" applyBorder="1"/>
    <xf numFmtId="0" fontId="0" fillId="0" borderId="9" xfId="0" applyBorder="1" applyAlignment="1">
      <alignment horizontal="left"/>
    </xf>
    <xf numFmtId="0" fontId="0" fillId="0" borderId="9" xfId="0" applyBorder="1"/>
    <xf numFmtId="0" fontId="0" fillId="7" borderId="9" xfId="0" applyFill="1" applyBorder="1"/>
    <xf numFmtId="0" fontId="26" fillId="0" borderId="9" xfId="0" applyFont="1" applyBorder="1"/>
    <xf numFmtId="0" fontId="0" fillId="8" borderId="11" xfId="0" applyFill="1" applyBorder="1" applyAlignment="1">
      <alignment horizontal="center"/>
    </xf>
    <xf numFmtId="0" fontId="0" fillId="8" borderId="13" xfId="0" applyFill="1" applyBorder="1" applyAlignment="1">
      <alignment horizontal="center"/>
    </xf>
    <xf numFmtId="164" fontId="0" fillId="0" borderId="0" xfId="2" applyNumberFormat="1" applyFont="1" applyFill="1" applyBorder="1" applyAlignment="1" applyProtection="1">
      <alignment horizontal="center"/>
    </xf>
    <xf numFmtId="0" fontId="6" fillId="2" borderId="14" xfId="0" applyFont="1" applyFill="1" applyBorder="1" applyAlignment="1">
      <alignment horizontal="left"/>
    </xf>
    <xf numFmtId="0" fontId="3" fillId="8" borderId="6" xfId="0" applyFont="1" applyFill="1" applyBorder="1" applyAlignment="1">
      <alignment horizontal="left" wrapText="1"/>
    </xf>
    <xf numFmtId="0" fontId="49" fillId="25" borderId="0" xfId="0" applyFont="1" applyFill="1"/>
    <xf numFmtId="0" fontId="28" fillId="25" borderId="0" xfId="0" applyFont="1" applyFill="1" applyAlignment="1">
      <alignment horizontal="right"/>
    </xf>
    <xf numFmtId="0" fontId="28" fillId="25" borderId="0" xfId="0" applyFont="1" applyFill="1"/>
    <xf numFmtId="0" fontId="13" fillId="10" borderId="75" xfId="0" applyFont="1" applyFill="1" applyBorder="1" applyAlignment="1" applyProtection="1">
      <alignment horizontal="right" wrapText="1"/>
      <protection locked="0"/>
    </xf>
    <xf numFmtId="0" fontId="5" fillId="24" borderId="78" xfId="0" applyFont="1" applyFill="1" applyBorder="1" applyAlignment="1">
      <alignment horizontal="left" vertical="top"/>
    </xf>
    <xf numFmtId="1" fontId="0" fillId="24" borderId="1" xfId="0" applyNumberFormat="1" applyFill="1" applyBorder="1" applyAlignment="1">
      <alignment horizontal="left"/>
    </xf>
    <xf numFmtId="0" fontId="5" fillId="7" borderId="77" xfId="0" applyFont="1" applyFill="1" applyBorder="1" applyAlignment="1">
      <alignment horizontal="right" vertical="top"/>
    </xf>
    <xf numFmtId="0" fontId="0" fillId="24" borderId="75" xfId="0" applyFill="1" applyBorder="1" applyAlignment="1">
      <alignment horizontal="left"/>
    </xf>
    <xf numFmtId="0" fontId="0" fillId="24" borderId="1" xfId="0" applyFill="1" applyBorder="1" applyAlignment="1">
      <alignment horizontal="left"/>
    </xf>
    <xf numFmtId="9" fontId="5" fillId="5" borderId="59" xfId="2" applyFont="1" applyFill="1" applyBorder="1" applyProtection="1"/>
    <xf numFmtId="0" fontId="5" fillId="33" borderId="59" xfId="0" applyFont="1" applyFill="1" applyBorder="1"/>
    <xf numFmtId="9" fontId="0" fillId="24" borderId="19" xfId="2" applyFont="1" applyFill="1" applyBorder="1" applyAlignment="1" applyProtection="1">
      <alignment horizontal="left"/>
    </xf>
    <xf numFmtId="9" fontId="0" fillId="24" borderId="19" xfId="2" applyFont="1" applyFill="1" applyBorder="1" applyAlignment="1">
      <alignment horizontal="left"/>
    </xf>
    <xf numFmtId="1" fontId="0" fillId="24" borderId="1" xfId="2" applyNumberFormat="1" applyFont="1" applyFill="1" applyBorder="1" applyAlignment="1">
      <alignment horizontal="left"/>
    </xf>
    <xf numFmtId="1" fontId="0" fillId="24" borderId="1" xfId="2" applyNumberFormat="1" applyFont="1" applyFill="1" applyBorder="1" applyAlignment="1" applyProtection="1">
      <alignment horizontal="left"/>
    </xf>
    <xf numFmtId="0" fontId="0" fillId="10" borderId="19" xfId="0" applyFill="1" applyBorder="1" applyAlignment="1" applyProtection="1">
      <alignment horizontal="left"/>
      <protection locked="0"/>
    </xf>
    <xf numFmtId="0" fontId="0" fillId="24" borderId="19" xfId="0" applyFill="1" applyBorder="1" applyAlignment="1">
      <alignment horizontal="left"/>
    </xf>
    <xf numFmtId="166" fontId="0" fillId="24" borderId="1" xfId="0" applyNumberFormat="1" applyFill="1" applyBorder="1" applyAlignment="1">
      <alignment horizontal="left"/>
    </xf>
    <xf numFmtId="0" fontId="28" fillId="7" borderId="0" xfId="0" applyFont="1" applyFill="1" applyAlignment="1">
      <alignment horizontal="left"/>
    </xf>
    <xf numFmtId="165" fontId="0" fillId="5" borderId="1" xfId="1" applyNumberFormat="1" applyFont="1" applyFill="1" applyBorder="1" applyAlignment="1" applyProtection="1">
      <alignment horizontal="left"/>
    </xf>
    <xf numFmtId="14" fontId="0" fillId="8" borderId="1" xfId="4" applyNumberFormat="1" applyFont="1" applyFill="1" applyBorder="1" applyAlignment="1" applyProtection="1">
      <alignment horizontal="center"/>
      <protection locked="0"/>
    </xf>
    <xf numFmtId="49" fontId="0" fillId="8" borderId="1" xfId="4" applyNumberFormat="1" applyFont="1" applyFill="1" applyBorder="1" applyAlignment="1" applyProtection="1">
      <alignment horizontal="center"/>
      <protection locked="0"/>
    </xf>
    <xf numFmtId="178" fontId="0" fillId="8" borderId="1" xfId="4" applyNumberFormat="1" applyFont="1" applyFill="1" applyBorder="1" applyAlignment="1" applyProtection="1">
      <alignment horizontal="center"/>
      <protection locked="0"/>
    </xf>
    <xf numFmtId="0" fontId="77" fillId="7" borderId="0" xfId="0" applyFont="1" applyFill="1"/>
    <xf numFmtId="0" fontId="29" fillId="7" borderId="0" xfId="0" applyFont="1" applyFill="1" applyAlignment="1" applyProtection="1">
      <alignment horizontal="left" indent="1"/>
      <protection locked="0"/>
    </xf>
    <xf numFmtId="0" fontId="61" fillId="7" borderId="0" xfId="0" applyFont="1" applyFill="1" applyAlignment="1">
      <alignment horizontal="left" indent="1"/>
    </xf>
    <xf numFmtId="0" fontId="78" fillId="7" borderId="0" xfId="0" applyFont="1" applyFill="1"/>
    <xf numFmtId="0" fontId="79" fillId="7" borderId="0" xfId="0" applyFont="1" applyFill="1"/>
    <xf numFmtId="14" fontId="0" fillId="7" borderId="0" xfId="0" applyNumberFormat="1" applyFill="1"/>
    <xf numFmtId="14" fontId="29" fillId="7" borderId="0" xfId="0" applyNumberFormat="1" applyFont="1" applyFill="1"/>
    <xf numFmtId="0" fontId="33" fillId="6" borderId="3" xfId="0" applyFont="1" applyFill="1" applyBorder="1"/>
    <xf numFmtId="0" fontId="0" fillId="0" borderId="1" xfId="0" applyBorder="1" applyAlignment="1">
      <alignment horizontal="left" vertical="center"/>
    </xf>
    <xf numFmtId="0" fontId="0" fillId="13" borderId="1" xfId="0" applyFill="1" applyBorder="1" applyAlignment="1">
      <alignment horizontal="center" vertical="center"/>
    </xf>
    <xf numFmtId="0" fontId="0" fillId="29" borderId="1" xfId="0" applyFill="1" applyBorder="1" applyAlignment="1">
      <alignment horizontal="center" vertical="center"/>
    </xf>
    <xf numFmtId="0" fontId="0" fillId="7" borderId="0" xfId="0" applyFill="1" applyAlignment="1">
      <alignment horizontal="center" vertical="center"/>
    </xf>
    <xf numFmtId="0" fontId="0" fillId="0" borderId="0" xfId="0" applyAlignment="1">
      <alignment horizontal="left" vertical="center" wrapText="1"/>
    </xf>
    <xf numFmtId="0" fontId="3" fillId="27" borderId="1" xfId="0" applyFont="1" applyFill="1" applyBorder="1" applyAlignment="1">
      <alignment horizontal="center"/>
    </xf>
    <xf numFmtId="0" fontId="3" fillId="28" borderId="1" xfId="0" applyFont="1" applyFill="1" applyBorder="1" applyAlignment="1">
      <alignment horizontal="center"/>
    </xf>
    <xf numFmtId="0" fontId="3" fillId="29" borderId="1" xfId="0" applyFont="1" applyFill="1" applyBorder="1" applyAlignment="1">
      <alignment horizontal="center"/>
    </xf>
    <xf numFmtId="0" fontId="3" fillId="26" borderId="1" xfId="0" applyFont="1" applyFill="1" applyBorder="1"/>
    <xf numFmtId="0" fontId="3" fillId="26" borderId="1" xfId="0" applyFont="1" applyFill="1" applyBorder="1" applyAlignment="1">
      <alignment horizontal="center"/>
    </xf>
    <xf numFmtId="0" fontId="3" fillId="13" borderId="1" xfId="0" applyFont="1" applyFill="1" applyBorder="1" applyAlignment="1">
      <alignment horizontal="center"/>
    </xf>
    <xf numFmtId="0" fontId="0" fillId="27" borderId="1" xfId="0" applyFill="1" applyBorder="1" applyAlignment="1">
      <alignment horizontal="center" vertical="center"/>
    </xf>
    <xf numFmtId="0" fontId="0" fillId="28" borderId="1" xfId="0" applyFill="1" applyBorder="1" applyAlignment="1">
      <alignment horizontal="center" vertical="center"/>
    </xf>
    <xf numFmtId="0" fontId="45" fillId="28" borderId="1" xfId="0" applyFont="1" applyFill="1" applyBorder="1" applyAlignment="1">
      <alignment horizontal="center" vertical="center"/>
    </xf>
    <xf numFmtId="0" fontId="0" fillId="7" borderId="0" xfId="0" applyFill="1" applyAlignment="1">
      <alignment horizontal="center" vertical="top" wrapText="1"/>
    </xf>
    <xf numFmtId="1" fontId="50" fillId="25" borderId="29" xfId="0" applyNumberFormat="1" applyFont="1" applyFill="1" applyBorder="1" applyAlignment="1">
      <alignment horizontal="right"/>
    </xf>
    <xf numFmtId="0" fontId="0" fillId="7" borderId="7" xfId="0" applyFill="1" applyBorder="1" applyAlignment="1">
      <alignment vertical="top" wrapText="1"/>
    </xf>
    <xf numFmtId="0" fontId="0" fillId="7" borderId="12" xfId="0" applyFill="1" applyBorder="1" applyAlignment="1">
      <alignment vertical="top" wrapText="1"/>
    </xf>
    <xf numFmtId="0" fontId="0" fillId="7" borderId="21" xfId="0" applyFill="1" applyBorder="1" applyAlignment="1">
      <alignment vertical="top" wrapText="1"/>
    </xf>
    <xf numFmtId="0" fontId="0" fillId="5" borderId="19" xfId="0" applyFill="1" applyBorder="1"/>
    <xf numFmtId="43" fontId="0" fillId="15" borderId="0" xfId="0" applyNumberFormat="1" applyFill="1" applyAlignment="1">
      <alignment horizontal="left"/>
    </xf>
    <xf numFmtId="0" fontId="76" fillId="7" borderId="78" xfId="0" applyFont="1" applyFill="1" applyBorder="1" applyAlignment="1">
      <alignment horizontal="left"/>
    </xf>
    <xf numFmtId="0" fontId="5" fillId="0" borderId="1" xfId="0" applyFont="1" applyBorder="1" applyAlignment="1">
      <alignment horizontal="left" vertical="center"/>
    </xf>
    <xf numFmtId="49" fontId="0" fillId="10" borderId="19" xfId="0" applyNumberFormat="1" applyFill="1" applyBorder="1" applyProtection="1">
      <protection locked="0"/>
    </xf>
    <xf numFmtId="0" fontId="13" fillId="24" borderId="2" xfId="0" applyFont="1" applyFill="1" applyBorder="1" applyAlignment="1">
      <alignment horizontal="right" wrapText="1"/>
    </xf>
    <xf numFmtId="1" fontId="3" fillId="24" borderId="1" xfId="0" applyNumberFormat="1" applyFont="1" applyFill="1" applyBorder="1"/>
    <xf numFmtId="0" fontId="3" fillId="24" borderId="1" xfId="0" applyFont="1" applyFill="1" applyBorder="1"/>
    <xf numFmtId="0" fontId="19" fillId="8" borderId="1" xfId="1" applyNumberFormat="1" applyFont="1" applyFill="1" applyBorder="1" applyProtection="1">
      <protection locked="0"/>
    </xf>
    <xf numFmtId="0" fontId="12" fillId="7" borderId="0" xfId="0" applyFont="1" applyFill="1"/>
    <xf numFmtId="0" fontId="5" fillId="7" borderId="0" xfId="0" applyFont="1" applyFill="1" applyAlignment="1">
      <alignment horizontal="right" vertical="top"/>
    </xf>
    <xf numFmtId="0" fontId="51" fillId="7" borderId="0" xfId="0" applyFont="1" applyFill="1" applyProtection="1">
      <protection locked="0"/>
    </xf>
    <xf numFmtId="0" fontId="0" fillId="24" borderId="19" xfId="0" applyFill="1" applyBorder="1"/>
    <xf numFmtId="0" fontId="45" fillId="7" borderId="0" xfId="0" applyFont="1" applyFill="1"/>
    <xf numFmtId="0" fontId="13" fillId="24" borderId="2" xfId="0" applyFont="1" applyFill="1" applyBorder="1" applyAlignment="1">
      <alignment horizontal="right"/>
    </xf>
    <xf numFmtId="0" fontId="25" fillId="7" borderId="7" xfId="0" applyFont="1" applyFill="1" applyBorder="1" applyAlignment="1">
      <alignment horizontal="left"/>
    </xf>
    <xf numFmtId="0" fontId="13" fillId="10" borderId="24" xfId="0" applyFont="1" applyFill="1" applyBorder="1" applyAlignment="1" applyProtection="1">
      <alignment horizontal="right" wrapText="1"/>
      <protection locked="0"/>
    </xf>
    <xf numFmtId="0" fontId="0" fillId="0" borderId="18" xfId="0" applyBorder="1" applyAlignment="1">
      <alignment wrapText="1"/>
    </xf>
    <xf numFmtId="0" fontId="0" fillId="0" borderId="0" xfId="0" applyAlignment="1">
      <alignment wrapText="1"/>
    </xf>
    <xf numFmtId="166" fontId="0" fillId="24" borderId="19" xfId="1" applyNumberFormat="1" applyFont="1" applyFill="1" applyBorder="1" applyAlignment="1">
      <alignment horizontal="left"/>
    </xf>
    <xf numFmtId="166" fontId="0" fillId="24" borderId="32" xfId="1" applyNumberFormat="1" applyFont="1" applyFill="1" applyBorder="1" applyAlignment="1">
      <alignment horizontal="left"/>
    </xf>
    <xf numFmtId="9" fontId="5" fillId="5" borderId="1" xfId="0" applyNumberFormat="1" applyFont="1" applyFill="1" applyBorder="1"/>
    <xf numFmtId="1" fontId="0" fillId="24" borderId="1" xfId="0" applyNumberFormat="1" applyFill="1" applyBorder="1" applyAlignment="1">
      <alignment horizontal="center"/>
    </xf>
    <xf numFmtId="0" fontId="0" fillId="24" borderId="1" xfId="0" applyFill="1" applyBorder="1" applyAlignment="1">
      <alignment horizontal="center"/>
    </xf>
    <xf numFmtId="169" fontId="0" fillId="24" borderId="19" xfId="4" applyNumberFormat="1" applyFont="1" applyFill="1" applyBorder="1" applyProtection="1"/>
    <xf numFmtId="0" fontId="5" fillId="24" borderId="78" xfId="0" applyFont="1" applyFill="1" applyBorder="1" applyAlignment="1">
      <alignment horizontal="left"/>
    </xf>
    <xf numFmtId="0" fontId="28" fillId="0" borderId="0" xfId="0" applyFont="1" applyProtection="1">
      <protection locked="0"/>
    </xf>
    <xf numFmtId="0" fontId="19" fillId="5" borderId="1" xfId="1" applyNumberFormat="1" applyFont="1" applyFill="1" applyBorder="1" applyAlignment="1" applyProtection="1">
      <alignment horizontal="center"/>
    </xf>
    <xf numFmtId="44" fontId="0" fillId="10" borderId="1" xfId="1" applyFont="1" applyFill="1" applyBorder="1" applyProtection="1">
      <protection locked="0"/>
    </xf>
    <xf numFmtId="44" fontId="0" fillId="5" borderId="1" xfId="1" applyFont="1" applyFill="1" applyBorder="1" applyProtection="1">
      <protection locked="0"/>
    </xf>
    <xf numFmtId="0" fontId="5" fillId="0" borderId="0" xfId="0" applyFont="1"/>
    <xf numFmtId="0" fontId="0" fillId="19" borderId="0" xfId="0" applyFill="1"/>
    <xf numFmtId="0" fontId="0" fillId="19" borderId="0" xfId="0" applyFill="1" applyAlignment="1">
      <alignment horizontal="left"/>
    </xf>
    <xf numFmtId="0" fontId="0" fillId="4" borderId="0" xfId="0" applyFill="1"/>
    <xf numFmtId="0" fontId="0" fillId="4" borderId="0" xfId="0" applyFill="1" applyAlignment="1">
      <alignment horizontal="left"/>
    </xf>
    <xf numFmtId="44" fontId="0" fillId="23" borderId="0" xfId="0" applyNumberFormat="1" applyFill="1" applyAlignment="1">
      <alignment horizontal="left"/>
    </xf>
    <xf numFmtId="0" fontId="0" fillId="23" borderId="0" xfId="0" applyFill="1" applyAlignment="1">
      <alignment horizontal="left"/>
    </xf>
    <xf numFmtId="2" fontId="0" fillId="19" borderId="0" xfId="0" applyNumberFormat="1" applyFill="1" applyAlignment="1">
      <alignment horizontal="left"/>
    </xf>
    <xf numFmtId="1" fontId="0" fillId="19" borderId="0" xfId="0" applyNumberFormat="1" applyFill="1" applyAlignment="1">
      <alignment horizontal="left"/>
    </xf>
    <xf numFmtId="0" fontId="71" fillId="19" borderId="0" xfId="0" applyFont="1" applyFill="1" applyAlignment="1" applyProtection="1">
      <alignment horizontal="left" vertical="top" wrapText="1"/>
      <protection locked="0"/>
    </xf>
    <xf numFmtId="0" fontId="19" fillId="7" borderId="0" xfId="0" applyFont="1" applyFill="1"/>
    <xf numFmtId="0" fontId="83" fillId="7" borderId="0" xfId="0" applyFont="1" applyFill="1"/>
    <xf numFmtId="177" fontId="0" fillId="31" borderId="1" xfId="1" applyNumberFormat="1" applyFont="1" applyFill="1" applyBorder="1" applyAlignment="1" applyProtection="1">
      <alignment horizontal="right"/>
    </xf>
    <xf numFmtId="0" fontId="0" fillId="7" borderId="14" xfId="2" applyNumberFormat="1" applyFont="1" applyFill="1" applyBorder="1" applyAlignment="1" applyProtection="1">
      <alignment horizontal="center"/>
    </xf>
    <xf numFmtId="0" fontId="5" fillId="33" borderId="1" xfId="0" applyFont="1" applyFill="1" applyBorder="1"/>
    <xf numFmtId="0" fontId="0" fillId="7" borderId="5" xfId="0" applyFill="1" applyBorder="1" applyProtection="1">
      <protection locked="0"/>
    </xf>
    <xf numFmtId="0" fontId="2" fillId="7" borderId="0" xfId="0" applyFont="1" applyFill="1"/>
    <xf numFmtId="0" fontId="84" fillId="8" borderId="7" xfId="0" applyFont="1" applyFill="1" applyBorder="1" applyAlignment="1">
      <alignment horizontal="center" wrapText="1"/>
    </xf>
    <xf numFmtId="0" fontId="85" fillId="8" borderId="0" xfId="0" applyFont="1" applyFill="1" applyAlignment="1">
      <alignment horizontal="center"/>
    </xf>
    <xf numFmtId="0" fontId="85" fillId="8" borderId="12" xfId="0" applyFont="1" applyFill="1" applyBorder="1" applyAlignment="1">
      <alignment horizontal="center"/>
    </xf>
    <xf numFmtId="0" fontId="83" fillId="7" borderId="0" xfId="0" applyFont="1" applyFill="1" applyAlignment="1">
      <alignment horizontal="left"/>
    </xf>
    <xf numFmtId="164" fontId="0" fillId="31" borderId="1" xfId="2" applyNumberFormat="1" applyFont="1" applyFill="1" applyBorder="1"/>
    <xf numFmtId="0" fontId="3" fillId="7" borderId="18" xfId="0" applyFont="1" applyFill="1" applyBorder="1" applyAlignment="1">
      <alignment horizontal="left" wrapText="1" indent="1"/>
    </xf>
    <xf numFmtId="0" fontId="3" fillId="7" borderId="0" xfId="0" applyFont="1" applyFill="1" applyAlignment="1">
      <alignment horizontal="left" indent="1"/>
    </xf>
    <xf numFmtId="0" fontId="3" fillId="7" borderId="29" xfId="0" applyFont="1" applyFill="1" applyBorder="1" applyAlignment="1">
      <alignment horizontal="left" indent="1"/>
    </xf>
    <xf numFmtId="0" fontId="0" fillId="22" borderId="18" xfId="0" applyFill="1" applyBorder="1" applyAlignment="1">
      <alignment horizontal="left" indent="1"/>
    </xf>
    <xf numFmtId="0" fontId="3" fillId="22" borderId="0" xfId="0" applyFont="1" applyFill="1" applyAlignment="1">
      <alignment wrapText="1"/>
    </xf>
    <xf numFmtId="0" fontId="3" fillId="22" borderId="29" xfId="0" applyFont="1" applyFill="1" applyBorder="1" applyAlignment="1">
      <alignment wrapText="1"/>
    </xf>
    <xf numFmtId="0" fontId="0" fillId="22" borderId="28" xfId="0" applyFill="1" applyBorder="1" applyAlignment="1">
      <alignment vertical="top" wrapText="1"/>
    </xf>
    <xf numFmtId="0" fontId="3" fillId="22" borderId="14" xfId="0" applyFont="1" applyFill="1" applyBorder="1" applyAlignment="1">
      <alignment vertical="top"/>
    </xf>
    <xf numFmtId="0" fontId="0" fillId="22" borderId="5" xfId="0" applyFill="1" applyBorder="1" applyAlignment="1">
      <alignment vertical="top" wrapText="1"/>
    </xf>
    <xf numFmtId="0" fontId="3" fillId="22" borderId="0" xfId="0" applyFont="1" applyFill="1"/>
    <xf numFmtId="0" fontId="0" fillId="22" borderId="0" xfId="0" applyFill="1"/>
    <xf numFmtId="0" fontId="51" fillId="22" borderId="0" xfId="0" applyFont="1" applyFill="1"/>
    <xf numFmtId="0" fontId="0" fillId="22" borderId="0" xfId="0" applyFill="1" applyAlignment="1">
      <alignment horizontal="left" vertical="top" wrapText="1"/>
    </xf>
    <xf numFmtId="0" fontId="0" fillId="7" borderId="0" xfId="0" quotePrefix="1" applyFill="1"/>
    <xf numFmtId="14" fontId="0" fillId="7" borderId="0" xfId="0" quotePrefix="1" applyNumberFormat="1" applyFill="1"/>
    <xf numFmtId="0" fontId="0" fillId="7" borderId="0" xfId="0" quotePrefix="1" applyFill="1" applyAlignment="1">
      <alignment horizontal="left" vertical="top"/>
    </xf>
    <xf numFmtId="0" fontId="5" fillId="0" borderId="0" xfId="0" applyFont="1" applyAlignment="1">
      <alignment horizontal="left"/>
    </xf>
    <xf numFmtId="0" fontId="86" fillId="7" borderId="0" xfId="0" applyFont="1" applyFill="1"/>
    <xf numFmtId="0" fontId="29" fillId="7" borderId="0" xfId="0" quotePrefix="1" applyFont="1" applyFill="1"/>
    <xf numFmtId="0" fontId="90" fillId="0" borderId="0" xfId="14" applyFont="1" applyAlignment="1">
      <alignment horizontal="center" wrapText="1"/>
    </xf>
    <xf numFmtId="0" fontId="88" fillId="0" borderId="0" xfId="13" applyAlignment="1">
      <alignment wrapText="1"/>
    </xf>
    <xf numFmtId="177" fontId="88" fillId="0" borderId="0" xfId="13" applyNumberFormat="1" applyAlignment="1">
      <alignment wrapText="1"/>
    </xf>
    <xf numFmtId="177" fontId="44" fillId="34" borderId="0" xfId="11" applyNumberFormat="1" applyFont="1" applyFill="1" applyAlignment="1">
      <alignment horizontal="right"/>
    </xf>
    <xf numFmtId="8" fontId="44" fillId="34" borderId="10" xfId="11" applyNumberFormat="1" applyFont="1" applyFill="1" applyBorder="1" applyAlignment="1">
      <alignment horizontal="right"/>
    </xf>
    <xf numFmtId="44" fontId="88" fillId="0" borderId="0" xfId="13" applyNumberFormat="1" applyAlignment="1">
      <alignment wrapText="1"/>
    </xf>
    <xf numFmtId="10" fontId="44" fillId="34" borderId="0" xfId="16" applyNumberFormat="1" applyFont="1" applyFill="1" applyBorder="1" applyAlignment="1">
      <alignment horizontal="right"/>
    </xf>
    <xf numFmtId="0" fontId="44" fillId="34" borderId="10" xfId="11" applyFont="1" applyFill="1" applyBorder="1" applyAlignment="1">
      <alignment horizontal="right"/>
    </xf>
    <xf numFmtId="0" fontId="89" fillId="34" borderId="9" xfId="11" applyFont="1" applyFill="1" applyBorder="1" applyAlignment="1">
      <alignment horizontal="right"/>
    </xf>
    <xf numFmtId="0" fontId="89" fillId="34" borderId="0" xfId="11" applyFont="1" applyFill="1" applyAlignment="1">
      <alignment horizontal="right"/>
    </xf>
    <xf numFmtId="1" fontId="44" fillId="34" borderId="10" xfId="11" applyNumberFormat="1" applyFont="1" applyFill="1" applyBorder="1" applyAlignment="1">
      <alignment horizontal="right" vertical="center"/>
    </xf>
    <xf numFmtId="177" fontId="44" fillId="34" borderId="87" xfId="11" applyNumberFormat="1" applyFont="1" applyFill="1" applyBorder="1" applyAlignment="1">
      <alignment horizontal="right"/>
    </xf>
    <xf numFmtId="1" fontId="92" fillId="34" borderId="10" xfId="15" applyNumberFormat="1" applyFont="1" applyFill="1" applyBorder="1" applyAlignment="1">
      <alignment horizontal="right"/>
    </xf>
    <xf numFmtId="14" fontId="44" fillId="7" borderId="89" xfId="11" applyNumberFormat="1" applyFont="1" applyFill="1" applyBorder="1"/>
    <xf numFmtId="14" fontId="44" fillId="7" borderId="22" xfId="11" applyNumberFormat="1" applyFont="1" applyFill="1" applyBorder="1"/>
    <xf numFmtId="179" fontId="89" fillId="0" borderId="91" xfId="11" applyNumberFormat="1" applyFont="1" applyBorder="1" applyAlignment="1">
      <alignment horizontal="center" vertical="center" wrapText="1"/>
    </xf>
    <xf numFmtId="14" fontId="89" fillId="0" borderId="92" xfId="11" applyNumberFormat="1" applyFont="1" applyBorder="1" applyAlignment="1">
      <alignment horizontal="center" vertical="center" wrapText="1"/>
    </xf>
    <xf numFmtId="180" fontId="89" fillId="0" borderId="92" xfId="11" applyNumberFormat="1" applyFont="1" applyBorder="1" applyAlignment="1">
      <alignment horizontal="center" vertical="center" wrapText="1"/>
    </xf>
    <xf numFmtId="180" fontId="89" fillId="0" borderId="93" xfId="11" applyNumberFormat="1" applyFont="1" applyBorder="1" applyAlignment="1">
      <alignment horizontal="center" vertical="center" wrapText="1"/>
    </xf>
    <xf numFmtId="179" fontId="44" fillId="0" borderId="6" xfId="11" applyNumberFormat="1" applyFont="1" applyBorder="1"/>
    <xf numFmtId="14" fontId="44" fillId="0" borderId="94" xfId="11" applyNumberFormat="1" applyFont="1" applyBorder="1" applyAlignment="1">
      <alignment horizontal="center"/>
    </xf>
    <xf numFmtId="177" fontId="44" fillId="0" borderId="94" xfId="11" applyNumberFormat="1" applyFont="1" applyBorder="1"/>
    <xf numFmtId="0" fontId="87" fillId="0" borderId="7" xfId="11" applyBorder="1"/>
    <xf numFmtId="181" fontId="44" fillId="0" borderId="94" xfId="11" applyNumberFormat="1" applyFont="1" applyBorder="1"/>
    <xf numFmtId="177" fontId="44" fillId="0" borderId="95" xfId="11" applyNumberFormat="1" applyFont="1" applyBorder="1"/>
    <xf numFmtId="177" fontId="44" fillId="0" borderId="96" xfId="11" applyNumberFormat="1" applyFont="1" applyBorder="1"/>
    <xf numFmtId="0" fontId="44" fillId="34" borderId="97" xfId="11" applyFont="1" applyFill="1" applyBorder="1" applyAlignment="1">
      <alignment horizontal="center"/>
    </xf>
    <xf numFmtId="14" fontId="44" fillId="34" borderId="73" xfId="11" applyNumberFormat="1" applyFont="1" applyFill="1" applyBorder="1" applyAlignment="1">
      <alignment horizontal="center"/>
    </xf>
    <xf numFmtId="177" fontId="44" fillId="34" borderId="1" xfId="11" applyNumberFormat="1" applyFont="1" applyFill="1" applyBorder="1"/>
    <xf numFmtId="8" fontId="44" fillId="34" borderId="1" xfId="11" applyNumberFormat="1" applyFont="1" applyFill="1" applyBorder="1"/>
    <xf numFmtId="8" fontId="44" fillId="34" borderId="24" xfId="11" applyNumberFormat="1" applyFont="1" applyFill="1" applyBorder="1"/>
    <xf numFmtId="8" fontId="44" fillId="34" borderId="10" xfId="11" applyNumberFormat="1" applyFont="1" applyFill="1" applyBorder="1"/>
    <xf numFmtId="0" fontId="44" fillId="34" borderId="9" xfId="11" applyFont="1" applyFill="1" applyBorder="1" applyAlignment="1">
      <alignment horizontal="center"/>
    </xf>
    <xf numFmtId="14" fontId="44" fillId="34" borderId="50" xfId="11" applyNumberFormat="1" applyFont="1" applyFill="1" applyBorder="1" applyAlignment="1">
      <alignment horizontal="center"/>
    </xf>
    <xf numFmtId="0" fontId="44" fillId="34" borderId="11" xfId="11" applyFont="1" applyFill="1" applyBorder="1" applyAlignment="1">
      <alignment horizontal="center"/>
    </xf>
    <xf numFmtId="14" fontId="44" fillId="34" borderId="98" xfId="11" applyNumberFormat="1" applyFont="1" applyFill="1" applyBorder="1" applyAlignment="1">
      <alignment horizontal="center"/>
    </xf>
    <xf numFmtId="177" fontId="44" fillId="34" borderId="26" xfId="11" applyNumberFormat="1" applyFont="1" applyFill="1" applyBorder="1"/>
    <xf numFmtId="8" fontId="44" fillId="34" borderId="26" xfId="11" applyNumberFormat="1" applyFont="1" applyFill="1" applyBorder="1"/>
    <xf numFmtId="8" fontId="44" fillId="34" borderId="27" xfId="11" applyNumberFormat="1" applyFont="1" applyFill="1" applyBorder="1"/>
    <xf numFmtId="8" fontId="44" fillId="34" borderId="13" xfId="11" applyNumberFormat="1" applyFont="1" applyFill="1" applyBorder="1"/>
    <xf numFmtId="177" fontId="44" fillId="34" borderId="19" xfId="11" applyNumberFormat="1" applyFont="1" applyFill="1" applyBorder="1"/>
    <xf numFmtId="8" fontId="44" fillId="34" borderId="19" xfId="11" applyNumberFormat="1" applyFont="1" applyFill="1" applyBorder="1"/>
    <xf numFmtId="8" fontId="44" fillId="34" borderId="99" xfId="11" applyNumberFormat="1" applyFont="1" applyFill="1" applyBorder="1"/>
    <xf numFmtId="177" fontId="44" fillId="34" borderId="73" xfId="11" applyNumberFormat="1" applyFont="1" applyFill="1" applyBorder="1"/>
    <xf numFmtId="8" fontId="44" fillId="34" borderId="73" xfId="11" applyNumberFormat="1" applyFont="1" applyFill="1" applyBorder="1"/>
    <xf numFmtId="8" fontId="44" fillId="34" borderId="100" xfId="11" applyNumberFormat="1" applyFont="1" applyFill="1" applyBorder="1"/>
    <xf numFmtId="0" fontId="44" fillId="34" borderId="6" xfId="11" applyFont="1" applyFill="1" applyBorder="1" applyAlignment="1">
      <alignment horizontal="center"/>
    </xf>
    <xf numFmtId="14" fontId="44" fillId="34" borderId="101" xfId="11" applyNumberFormat="1" applyFont="1" applyFill="1" applyBorder="1" applyAlignment="1">
      <alignment horizontal="center"/>
    </xf>
    <xf numFmtId="177" fontId="44" fillId="34" borderId="81" xfId="11" applyNumberFormat="1" applyFont="1" applyFill="1" applyBorder="1"/>
    <xf numFmtId="8" fontId="44" fillId="34" borderId="81" xfId="11" applyNumberFormat="1" applyFont="1" applyFill="1" applyBorder="1"/>
    <xf numFmtId="8" fontId="44" fillId="34" borderId="82" xfId="11" applyNumberFormat="1" applyFont="1" applyFill="1" applyBorder="1"/>
    <xf numFmtId="0" fontId="0" fillId="0" borderId="3" xfId="0" applyBorder="1" applyAlignment="1">
      <alignment horizontal="center" vertical="center"/>
    </xf>
    <xf numFmtId="0" fontId="0" fillId="0" borderId="3" xfId="0" applyBorder="1" applyAlignment="1">
      <alignment horizontal="left" vertical="center"/>
    </xf>
    <xf numFmtId="0" fontId="0" fillId="7" borderId="72" xfId="0" applyFill="1" applyBorder="1" applyAlignment="1">
      <alignment horizontal="center" vertical="center"/>
    </xf>
    <xf numFmtId="0" fontId="93" fillId="7" borderId="0" xfId="3" applyFont="1" applyFill="1"/>
    <xf numFmtId="0" fontId="0" fillId="8" borderId="12" xfId="0" applyFill="1" applyBorder="1" applyAlignment="1">
      <alignment horizontal="center"/>
    </xf>
    <xf numFmtId="0" fontId="0" fillId="8" borderId="9" xfId="0" applyFill="1" applyBorder="1" applyAlignment="1">
      <alignment horizontal="left"/>
    </xf>
    <xf numFmtId="0" fontId="0" fillId="8" borderId="11" xfId="0" applyFill="1" applyBorder="1" applyAlignment="1">
      <alignment horizontal="left"/>
    </xf>
    <xf numFmtId="164" fontId="0" fillId="8" borderId="12" xfId="2" applyNumberFormat="1" applyFont="1" applyFill="1" applyBorder="1" applyAlignment="1" applyProtection="1">
      <alignment horizontal="center"/>
    </xf>
    <xf numFmtId="1" fontId="0" fillId="8" borderId="2" xfId="0" applyNumberFormat="1" applyFill="1" applyBorder="1" applyAlignment="1" applyProtection="1">
      <alignment horizontal="left"/>
      <protection locked="0"/>
    </xf>
    <xf numFmtId="6" fontId="0" fillId="0" borderId="0" xfId="1" applyNumberFormat="1" applyFont="1" applyProtection="1"/>
    <xf numFmtId="0" fontId="0" fillId="5" borderId="73" xfId="1" applyNumberFormat="1" applyFont="1" applyFill="1" applyBorder="1" applyAlignment="1" applyProtection="1">
      <alignment horizontal="left"/>
    </xf>
    <xf numFmtId="0" fontId="94" fillId="7" borderId="0" xfId="0" applyFont="1" applyFill="1"/>
    <xf numFmtId="0" fontId="2" fillId="0" borderId="0" xfId="0" applyFont="1" applyAlignment="1">
      <alignment horizontal="left"/>
    </xf>
    <xf numFmtId="0" fontId="5" fillId="31" borderId="19" xfId="0" applyFont="1" applyFill="1" applyBorder="1" applyAlignment="1">
      <alignment horizontal="left"/>
    </xf>
    <xf numFmtId="9" fontId="0" fillId="24" borderId="75" xfId="0" applyNumberFormat="1" applyFill="1" applyBorder="1" applyAlignment="1">
      <alignment horizontal="left"/>
    </xf>
    <xf numFmtId="9" fontId="0" fillId="24" borderId="0" xfId="0" applyNumberFormat="1" applyFill="1" applyAlignment="1">
      <alignment horizontal="left"/>
    </xf>
    <xf numFmtId="0" fontId="28" fillId="0" borderId="0" xfId="0" applyFont="1" applyAlignment="1">
      <alignment horizontal="left"/>
    </xf>
    <xf numFmtId="9" fontId="0" fillId="10" borderId="0" xfId="1" applyNumberFormat="1" applyFont="1" applyFill="1" applyBorder="1" applyAlignment="1" applyProtection="1">
      <alignment horizontal="left"/>
      <protection locked="0"/>
    </xf>
    <xf numFmtId="0" fontId="0" fillId="0" borderId="0" xfId="2" applyNumberFormat="1" applyFont="1" applyFill="1" applyBorder="1" applyProtection="1"/>
    <xf numFmtId="2" fontId="0" fillId="4" borderId="0" xfId="2" applyNumberFormat="1" applyFont="1" applyFill="1" applyBorder="1" applyAlignment="1" applyProtection="1">
      <alignment horizontal="center"/>
    </xf>
    <xf numFmtId="2" fontId="0" fillId="4" borderId="12" xfId="2" applyNumberFormat="1" applyFont="1" applyFill="1" applyBorder="1" applyAlignment="1" applyProtection="1">
      <alignment horizontal="center"/>
    </xf>
    <xf numFmtId="2" fontId="0" fillId="24" borderId="1" xfId="2" applyNumberFormat="1" applyFont="1" applyFill="1" applyBorder="1" applyAlignment="1">
      <alignment horizontal="left"/>
    </xf>
    <xf numFmtId="0" fontId="5" fillId="31" borderId="1" xfId="0" applyFont="1" applyFill="1" applyBorder="1" applyAlignment="1">
      <alignment horizontal="left"/>
    </xf>
    <xf numFmtId="0" fontId="0" fillId="0" borderId="0" xfId="0" applyAlignment="1">
      <alignment horizontal="left" vertical="top" wrapText="1"/>
    </xf>
    <xf numFmtId="0" fontId="0" fillId="0" borderId="14" xfId="0" applyBorder="1" applyProtection="1">
      <protection locked="0"/>
    </xf>
    <xf numFmtId="5" fontId="0" fillId="24" borderId="19" xfId="0" applyNumberFormat="1" applyFill="1" applyBorder="1" applyAlignment="1">
      <alignment horizontal="left"/>
    </xf>
    <xf numFmtId="0" fontId="0" fillId="0" borderId="7" xfId="0" applyBorder="1" applyAlignment="1">
      <alignment horizontal="left" vertical="top" wrapText="1"/>
    </xf>
    <xf numFmtId="37" fontId="0" fillId="24" borderId="19" xfId="0" applyNumberFormat="1" applyFill="1" applyBorder="1"/>
    <xf numFmtId="0" fontId="13" fillId="0" borderId="0" xfId="0" applyFont="1" applyAlignment="1" applyProtection="1">
      <alignment horizontal="right" wrapText="1"/>
      <protection locked="0"/>
    </xf>
    <xf numFmtId="0" fontId="4" fillId="0" borderId="0" xfId="0" applyFont="1" applyAlignment="1">
      <alignment wrapText="1"/>
    </xf>
    <xf numFmtId="0" fontId="13" fillId="36" borderId="14" xfId="0" applyFont="1" applyFill="1" applyBorder="1"/>
    <xf numFmtId="0" fontId="5" fillId="36" borderId="5" xfId="0" applyFont="1" applyFill="1" applyBorder="1"/>
    <xf numFmtId="0" fontId="5" fillId="36" borderId="5" xfId="0" applyFont="1" applyFill="1" applyBorder="1" applyAlignment="1">
      <alignment wrapText="1"/>
    </xf>
    <xf numFmtId="0" fontId="4" fillId="36" borderId="5" xfId="0" applyFont="1" applyFill="1" applyBorder="1" applyAlignment="1">
      <alignment wrapText="1"/>
    </xf>
    <xf numFmtId="0" fontId="0" fillId="36" borderId="28" xfId="0" applyFill="1" applyBorder="1"/>
    <xf numFmtId="0" fontId="51" fillId="36" borderId="18" xfId="0" applyFont="1" applyFill="1" applyBorder="1"/>
    <xf numFmtId="0" fontId="51" fillId="36" borderId="30" xfId="0" applyFont="1" applyFill="1" applyBorder="1"/>
    <xf numFmtId="0" fontId="0" fillId="32" borderId="19" xfId="0" applyFill="1" applyBorder="1" applyProtection="1">
      <protection locked="0"/>
    </xf>
    <xf numFmtId="0" fontId="0" fillId="35" borderId="19" xfId="0" applyFill="1" applyBorder="1" applyAlignment="1">
      <alignment horizontal="left"/>
    </xf>
    <xf numFmtId="0" fontId="0" fillId="32" borderId="1" xfId="0" applyFill="1" applyBorder="1" applyProtection="1">
      <protection locked="0"/>
    </xf>
    <xf numFmtId="0" fontId="13" fillId="31" borderId="1" xfId="0" applyFont="1" applyFill="1" applyBorder="1" applyAlignment="1" applyProtection="1">
      <alignment wrapText="1"/>
      <protection locked="0"/>
    </xf>
    <xf numFmtId="0" fontId="4" fillId="0" borderId="0" xfId="0" applyFont="1" applyAlignment="1" applyProtection="1">
      <alignment wrapText="1"/>
      <protection locked="0"/>
    </xf>
    <xf numFmtId="0" fontId="3" fillId="36" borderId="102" xfId="0" applyFont="1" applyFill="1" applyBorder="1"/>
    <xf numFmtId="0" fontId="4" fillId="21" borderId="1" xfId="0" applyFont="1" applyFill="1" applyBorder="1" applyAlignment="1">
      <alignment wrapText="1"/>
    </xf>
    <xf numFmtId="0" fontId="0" fillId="0" borderId="57" xfId="0" applyBorder="1" applyAlignment="1">
      <alignment horizontal="left"/>
    </xf>
    <xf numFmtId="0" fontId="13" fillId="32" borderId="2" xfId="0" applyFont="1" applyFill="1" applyBorder="1" applyAlignment="1">
      <alignment wrapText="1"/>
    </xf>
    <xf numFmtId="0" fontId="4" fillId="0" borderId="0" xfId="0" applyFont="1"/>
    <xf numFmtId="0" fontId="4" fillId="0" borderId="10" xfId="0" applyFont="1" applyBorder="1"/>
    <xf numFmtId="0" fontId="13" fillId="0" borderId="10" xfId="0" applyFont="1" applyBorder="1" applyAlignment="1" applyProtection="1">
      <alignment horizontal="right" wrapText="1"/>
      <protection locked="0"/>
    </xf>
    <xf numFmtId="0" fontId="2" fillId="0" borderId="18" xfId="0" applyFont="1" applyBorder="1"/>
    <xf numFmtId="2" fontId="0" fillId="0" borderId="18" xfId="0" applyNumberFormat="1" applyBorder="1"/>
    <xf numFmtId="37" fontId="0" fillId="8" borderId="1" xfId="0" applyNumberFormat="1" applyFill="1" applyBorder="1"/>
    <xf numFmtId="1" fontId="0" fillId="8" borderId="1" xfId="0" applyNumberFormat="1" applyFill="1" applyBorder="1"/>
    <xf numFmtId="0" fontId="0" fillId="21" borderId="1" xfId="0" applyFill="1" applyBorder="1"/>
    <xf numFmtId="165" fontId="0" fillId="31" borderId="19" xfId="0" applyNumberFormat="1" applyFill="1" applyBorder="1" applyProtection="1">
      <protection locked="0"/>
    </xf>
    <xf numFmtId="9" fontId="0" fillId="0" borderId="72" xfId="2" applyFont="1" applyFill="1" applyBorder="1" applyProtection="1"/>
    <xf numFmtId="0" fontId="0" fillId="0" borderId="72" xfId="0" applyBorder="1"/>
    <xf numFmtId="182" fontId="0" fillId="8" borderId="1" xfId="0" applyNumberFormat="1" applyFill="1" applyBorder="1"/>
    <xf numFmtId="0" fontId="5" fillId="0" borderId="0" xfId="0" applyFont="1" applyAlignment="1">
      <alignment horizontal="right"/>
    </xf>
    <xf numFmtId="0" fontId="0" fillId="0" borderId="72" xfId="0" applyBorder="1" applyProtection="1">
      <protection locked="0"/>
    </xf>
    <xf numFmtId="0" fontId="0" fillId="21" borderId="1" xfId="0" applyFill="1" applyBorder="1" applyProtection="1">
      <protection locked="0"/>
    </xf>
    <xf numFmtId="14" fontId="0" fillId="21" borderId="1" xfId="0" applyNumberFormat="1" applyFill="1" applyBorder="1" applyProtection="1">
      <protection locked="0"/>
    </xf>
    <xf numFmtId="0" fontId="5" fillId="21" borderId="0" xfId="0" applyFont="1" applyFill="1" applyAlignment="1">
      <alignment horizontal="left" vertical="top"/>
    </xf>
    <xf numFmtId="0" fontId="3" fillId="10" borderId="1" xfId="0" applyFont="1" applyFill="1" applyBorder="1" applyProtection="1">
      <protection locked="0"/>
    </xf>
    <xf numFmtId="49" fontId="3" fillId="10" borderId="19" xfId="0" applyNumberFormat="1" applyFont="1" applyFill="1" applyBorder="1" applyProtection="1">
      <protection locked="0"/>
    </xf>
    <xf numFmtId="0" fontId="25" fillId="0" borderId="0" xfId="0" applyFont="1"/>
    <xf numFmtId="2" fontId="0" fillId="0" borderId="0" xfId="0" applyNumberFormat="1"/>
    <xf numFmtId="1" fontId="0" fillId="0" borderId="0" xfId="0" applyNumberFormat="1"/>
    <xf numFmtId="0" fontId="3" fillId="0" borderId="0" xfId="0" applyFont="1" applyAlignment="1">
      <alignment horizontal="right"/>
    </xf>
    <xf numFmtId="2" fontId="3" fillId="0" borderId="0" xfId="0" applyNumberFormat="1" applyFont="1"/>
    <xf numFmtId="0" fontId="7" fillId="36" borderId="2" xfId="0" applyFont="1" applyFill="1" applyBorder="1" applyAlignment="1">
      <alignment horizontal="left"/>
    </xf>
    <xf numFmtId="0" fontId="0" fillId="36" borderId="3" xfId="0" applyFill="1" applyBorder="1"/>
    <xf numFmtId="0" fontId="14" fillId="36" borderId="3" xfId="0" applyFont="1" applyFill="1" applyBorder="1" applyAlignment="1">
      <alignment horizontal="left"/>
    </xf>
    <xf numFmtId="0" fontId="33" fillId="36" borderId="3" xfId="0" applyFont="1" applyFill="1" applyBorder="1"/>
    <xf numFmtId="0" fontId="0" fillId="0" borderId="0" xfId="0" applyAlignment="1">
      <alignment horizontal="left" vertical="top"/>
    </xf>
    <xf numFmtId="1" fontId="0" fillId="19" borderId="1" xfId="0" applyNumberFormat="1" applyFill="1" applyBorder="1" applyAlignment="1" applyProtection="1">
      <alignment horizontal="center"/>
      <protection locked="0"/>
    </xf>
    <xf numFmtId="1" fontId="3" fillId="8" borderId="1" xfId="0" applyNumberFormat="1" applyFont="1" applyFill="1" applyBorder="1" applyProtection="1">
      <protection locked="0"/>
    </xf>
    <xf numFmtId="0" fontId="0" fillId="21" borderId="1" xfId="2" applyNumberFormat="1" applyFont="1" applyFill="1" applyBorder="1" applyProtection="1">
      <protection locked="0"/>
    </xf>
    <xf numFmtId="0" fontId="0" fillId="32" borderId="19" xfId="0" applyFill="1" applyBorder="1" applyAlignment="1" applyProtection="1">
      <alignment horizontal="left"/>
      <protection locked="0"/>
    </xf>
    <xf numFmtId="0" fontId="5" fillId="10" borderId="1" xfId="0" applyFont="1" applyFill="1" applyBorder="1" applyAlignment="1" applyProtection="1">
      <alignment horizontal="left"/>
      <protection locked="0"/>
    </xf>
    <xf numFmtId="3" fontId="0" fillId="32" borderId="1" xfId="0" applyNumberFormat="1" applyFill="1" applyBorder="1" applyAlignment="1" applyProtection="1">
      <alignment horizontal="left"/>
      <protection locked="0"/>
    </xf>
    <xf numFmtId="0" fontId="4" fillId="21" borderId="1" xfId="0" applyFont="1" applyFill="1" applyBorder="1" applyAlignment="1" applyProtection="1">
      <alignment wrapText="1"/>
      <protection locked="0"/>
    </xf>
    <xf numFmtId="37" fontId="0" fillId="31" borderId="1" xfId="0" applyNumberFormat="1" applyFill="1" applyBorder="1"/>
    <xf numFmtId="37" fontId="0" fillId="37" borderId="1" xfId="0" applyNumberFormat="1" applyFill="1" applyBorder="1"/>
    <xf numFmtId="1" fontId="0" fillId="37" borderId="1" xfId="0" applyNumberFormat="1" applyFill="1" applyBorder="1"/>
    <xf numFmtId="0" fontId="0" fillId="37" borderId="1" xfId="0" applyFill="1" applyBorder="1"/>
    <xf numFmtId="0" fontId="19" fillId="8" borderId="1" xfId="1" applyNumberFormat="1" applyFont="1" applyFill="1" applyBorder="1" applyProtection="1"/>
    <xf numFmtId="165" fontId="0" fillId="32" borderId="1" xfId="0" applyNumberFormat="1" applyFill="1" applyBorder="1" applyProtection="1">
      <protection locked="0"/>
    </xf>
    <xf numFmtId="0" fontId="13" fillId="32" borderId="2" xfId="0" applyFont="1" applyFill="1" applyBorder="1" applyAlignment="1" applyProtection="1">
      <alignment horizontal="right" wrapText="1"/>
      <protection locked="0"/>
    </xf>
    <xf numFmtId="10" fontId="0" fillId="37" borderId="1" xfId="0" applyNumberFormat="1" applyFill="1" applyBorder="1"/>
    <xf numFmtId="166" fontId="0" fillId="7" borderId="0" xfId="0" applyNumberFormat="1" applyFill="1" applyAlignment="1" applyProtection="1">
      <alignment horizontal="right"/>
      <protection locked="0"/>
    </xf>
    <xf numFmtId="0" fontId="10" fillId="0" borderId="0" xfId="3" applyFill="1"/>
    <xf numFmtId="0" fontId="10" fillId="0" borderId="0" xfId="3"/>
    <xf numFmtId="0" fontId="19" fillId="32" borderId="1" xfId="1" applyNumberFormat="1" applyFont="1" applyFill="1" applyBorder="1" applyAlignment="1" applyProtection="1">
      <alignment horizontal="center"/>
      <protection locked="0"/>
    </xf>
    <xf numFmtId="0" fontId="10" fillId="7" borderId="0" xfId="3" applyFill="1" applyBorder="1" applyProtection="1">
      <protection locked="0"/>
    </xf>
    <xf numFmtId="10" fontId="0" fillId="35" borderId="1" xfId="0" applyNumberFormat="1" applyFill="1" applyBorder="1"/>
    <xf numFmtId="5" fontId="0" fillId="0" borderId="0" xfId="1" applyNumberFormat="1" applyFont="1" applyProtection="1"/>
    <xf numFmtId="8" fontId="44" fillId="34" borderId="90" xfId="11" applyNumberFormat="1" applyFont="1" applyFill="1" applyBorder="1"/>
    <xf numFmtId="172" fontId="44" fillId="0" borderId="90" xfId="11" applyNumberFormat="1" applyFont="1" applyBorder="1" applyAlignment="1">
      <alignment horizontal="center" vertical="center" wrapText="1"/>
    </xf>
    <xf numFmtId="177" fontId="44" fillId="34" borderId="10" xfId="11" applyNumberFormat="1" applyFont="1" applyFill="1" applyBorder="1"/>
    <xf numFmtId="0" fontId="0" fillId="7" borderId="0" xfId="0" applyFill="1" applyAlignment="1">
      <alignment horizontal="left" vertical="top"/>
    </xf>
    <xf numFmtId="14" fontId="0" fillId="7" borderId="0" xfId="0" applyNumberFormat="1" applyFill="1" applyAlignment="1">
      <alignment horizontal="left"/>
    </xf>
    <xf numFmtId="0" fontId="0" fillId="30" borderId="32" xfId="0" applyFill="1" applyBorder="1" applyAlignment="1">
      <alignment horizontal="center" vertical="top" wrapText="1"/>
    </xf>
    <xf numFmtId="0" fontId="0" fillId="30" borderId="50" xfId="0" applyFill="1" applyBorder="1" applyAlignment="1">
      <alignment horizontal="center" vertical="top" wrapText="1"/>
    </xf>
    <xf numFmtId="0" fontId="0" fillId="30" borderId="19" xfId="0" applyFill="1" applyBorder="1" applyAlignment="1">
      <alignment horizontal="center" vertical="top" wrapText="1"/>
    </xf>
    <xf numFmtId="0" fontId="0" fillId="7" borderId="0" xfId="0" applyFill="1" applyAlignment="1">
      <alignment horizontal="left" vertical="top" wrapText="1"/>
    </xf>
    <xf numFmtId="0" fontId="3" fillId="7" borderId="0" xfId="0" applyFont="1" applyFill="1" applyAlignment="1">
      <alignment horizontal="left" vertical="top" wrapText="1"/>
    </xf>
    <xf numFmtId="14" fontId="29" fillId="7" borderId="0" xfId="0" applyNumberFormat="1" applyFont="1" applyFill="1" applyAlignment="1">
      <alignment horizontal="left"/>
    </xf>
    <xf numFmtId="0" fontId="82" fillId="26" borderId="14" xfId="0" applyFont="1" applyFill="1" applyBorder="1" applyAlignment="1">
      <alignment horizontal="center" vertical="center"/>
    </xf>
    <xf numFmtId="0" fontId="82" fillId="26" borderId="5" xfId="0" applyFont="1" applyFill="1" applyBorder="1" applyAlignment="1">
      <alignment horizontal="center" vertical="center"/>
    </xf>
    <xf numFmtId="0" fontId="82" fillId="26" borderId="28" xfId="0" applyFont="1" applyFill="1" applyBorder="1" applyAlignment="1">
      <alignment horizontal="center" vertical="center"/>
    </xf>
    <xf numFmtId="0" fontId="80" fillId="26" borderId="30" xfId="3" applyFont="1" applyFill="1" applyBorder="1" applyAlignment="1">
      <alignment horizontal="center" vertical="center"/>
    </xf>
    <xf numFmtId="0" fontId="80" fillId="26" borderId="40" xfId="3" applyFont="1" applyFill="1" applyBorder="1" applyAlignment="1">
      <alignment horizontal="center" vertical="center"/>
    </xf>
    <xf numFmtId="0" fontId="80" fillId="26" borderId="31" xfId="3" applyFont="1" applyFill="1" applyBorder="1" applyAlignment="1">
      <alignment horizontal="center" vertical="center"/>
    </xf>
    <xf numFmtId="0" fontId="74" fillId="7" borderId="0" xfId="3" applyFont="1" applyFill="1" applyAlignment="1">
      <alignment horizontal="left"/>
    </xf>
    <xf numFmtId="0" fontId="80" fillId="26" borderId="2" xfId="3" applyFont="1" applyFill="1" applyBorder="1" applyAlignment="1">
      <alignment horizontal="center" vertical="center"/>
    </xf>
    <xf numFmtId="0" fontId="80" fillId="26" borderId="4" xfId="3" applyFont="1" applyFill="1" applyBorder="1" applyAlignment="1">
      <alignment horizontal="center" vertical="center"/>
    </xf>
    <xf numFmtId="0" fontId="3" fillId="26" borderId="1" xfId="0" applyFont="1" applyFill="1" applyBorder="1" applyAlignment="1">
      <alignment horizontal="center"/>
    </xf>
    <xf numFmtId="0" fontId="80" fillId="26" borderId="19" xfId="3" applyFont="1" applyFill="1" applyBorder="1" applyAlignment="1">
      <alignment horizontal="center" vertical="center"/>
    </xf>
    <xf numFmtId="0" fontId="81" fillId="26" borderId="73" xfId="0" applyFont="1" applyFill="1" applyBorder="1" applyAlignment="1">
      <alignment horizontal="center" vertical="center"/>
    </xf>
    <xf numFmtId="0" fontId="3" fillId="26" borderId="2" xfId="0" applyFont="1" applyFill="1" applyBorder="1" applyAlignment="1">
      <alignment horizontal="center"/>
    </xf>
    <xf numFmtId="0" fontId="3" fillId="26" borderId="4" xfId="0" applyFont="1" applyFill="1" applyBorder="1" applyAlignment="1">
      <alignment horizontal="center"/>
    </xf>
    <xf numFmtId="0" fontId="3" fillId="26" borderId="2" xfId="0" applyFont="1" applyFill="1" applyBorder="1" applyAlignment="1">
      <alignment horizontal="center" vertical="center"/>
    </xf>
    <xf numFmtId="0" fontId="3" fillId="26" borderId="3" xfId="0" applyFont="1" applyFill="1" applyBorder="1" applyAlignment="1">
      <alignment horizontal="center" vertical="center"/>
    </xf>
    <xf numFmtId="0" fontId="3" fillId="26" borderId="4" xfId="0" applyFont="1" applyFill="1" applyBorder="1" applyAlignment="1">
      <alignment horizontal="center" vertical="center"/>
    </xf>
    <xf numFmtId="0" fontId="81" fillId="26" borderId="1" xfId="0" applyFont="1" applyFill="1" applyBorder="1" applyAlignment="1">
      <alignment horizontal="center" vertical="center"/>
    </xf>
    <xf numFmtId="0" fontId="80" fillId="26" borderId="1" xfId="3" applyFont="1" applyFill="1" applyBorder="1" applyAlignment="1">
      <alignment horizontal="center" vertical="center"/>
    </xf>
    <xf numFmtId="0" fontId="0" fillId="5" borderId="2" xfId="0" applyFill="1" applyBorder="1" applyAlignment="1">
      <alignment horizontal="left"/>
    </xf>
    <xf numFmtId="0" fontId="0" fillId="5" borderId="3" xfId="0" applyFill="1" applyBorder="1" applyAlignment="1">
      <alignment horizontal="left"/>
    </xf>
    <xf numFmtId="0" fontId="0" fillId="5" borderId="4" xfId="0" applyFill="1" applyBorder="1" applyAlignment="1">
      <alignment horizontal="left"/>
    </xf>
    <xf numFmtId="0" fontId="0" fillId="5" borderId="2" xfId="1" applyNumberFormat="1" applyFont="1" applyFill="1" applyBorder="1" applyAlignment="1" applyProtection="1">
      <alignment horizontal="left"/>
    </xf>
    <xf numFmtId="0" fontId="0" fillId="5" borderId="3" xfId="1" applyNumberFormat="1" applyFont="1" applyFill="1" applyBorder="1" applyAlignment="1" applyProtection="1">
      <alignment horizontal="left"/>
    </xf>
    <xf numFmtId="0" fontId="0" fillId="5" borderId="4" xfId="1" applyNumberFormat="1" applyFont="1" applyFill="1" applyBorder="1" applyAlignment="1" applyProtection="1">
      <alignment horizontal="left"/>
    </xf>
    <xf numFmtId="0" fontId="0" fillId="5" borderId="1" xfId="1" applyNumberFormat="1" applyFont="1" applyFill="1" applyBorder="1" applyAlignment="1" applyProtection="1">
      <alignment horizontal="left"/>
    </xf>
    <xf numFmtId="0" fontId="0" fillId="5" borderId="14" xfId="0" applyFill="1" applyBorder="1" applyAlignment="1">
      <alignment horizontal="left"/>
    </xf>
    <xf numFmtId="0" fontId="0" fillId="5" borderId="5" xfId="0" applyFill="1" applyBorder="1" applyAlignment="1">
      <alignment horizontal="left"/>
    </xf>
    <xf numFmtId="0" fontId="0" fillId="5" borderId="28" xfId="0" applyFill="1" applyBorder="1" applyAlignment="1">
      <alignment horizontal="left"/>
    </xf>
    <xf numFmtId="9" fontId="0" fillId="5" borderId="2" xfId="2" applyFont="1" applyFill="1" applyBorder="1" applyAlignment="1" applyProtection="1">
      <alignment horizontal="left"/>
    </xf>
    <xf numFmtId="9" fontId="0" fillId="5" borderId="3" xfId="2" applyFont="1" applyFill="1" applyBorder="1" applyAlignment="1" applyProtection="1">
      <alignment horizontal="left"/>
    </xf>
    <xf numFmtId="9" fontId="0" fillId="5" borderId="4" xfId="2" applyFont="1" applyFill="1" applyBorder="1" applyAlignment="1" applyProtection="1">
      <alignment horizontal="left"/>
    </xf>
    <xf numFmtId="0" fontId="29" fillId="8" borderId="2" xfId="0" applyFont="1" applyFill="1" applyBorder="1" applyAlignment="1" applyProtection="1">
      <alignment horizontal="center"/>
      <protection locked="0"/>
    </xf>
    <xf numFmtId="0" fontId="29" fillId="8" borderId="3" xfId="0" applyFont="1" applyFill="1" applyBorder="1" applyAlignment="1" applyProtection="1">
      <alignment horizontal="center"/>
      <protection locked="0"/>
    </xf>
    <xf numFmtId="0" fontId="29" fillId="8" borderId="4" xfId="0" applyFont="1" applyFill="1" applyBorder="1" applyAlignment="1" applyProtection="1">
      <alignment horizontal="center"/>
      <protection locked="0"/>
    </xf>
    <xf numFmtId="0" fontId="0" fillId="8" borderId="1" xfId="1" applyNumberFormat="1" applyFont="1" applyFill="1" applyBorder="1" applyAlignment="1" applyProtection="1">
      <alignment horizontal="left"/>
      <protection locked="0"/>
    </xf>
    <xf numFmtId="0" fontId="4" fillId="7" borderId="0" xfId="0" applyFont="1" applyFill="1" applyAlignment="1">
      <alignment horizontal="left" wrapText="1"/>
    </xf>
    <xf numFmtId="0" fontId="0" fillId="32" borderId="14" xfId="0" applyFill="1" applyBorder="1" applyAlignment="1" applyProtection="1">
      <alignment horizontal="left"/>
      <protection locked="0"/>
    </xf>
    <xf numFmtId="0" fontId="0" fillId="32" borderId="28" xfId="0" applyFill="1" applyBorder="1" applyAlignment="1" applyProtection="1">
      <alignment horizontal="left"/>
      <protection locked="0"/>
    </xf>
    <xf numFmtId="0" fontId="0" fillId="32" borderId="2" xfId="1" applyNumberFormat="1" applyFont="1" applyFill="1" applyBorder="1" applyAlignment="1" applyProtection="1">
      <alignment horizontal="left"/>
      <protection locked="0"/>
    </xf>
    <xf numFmtId="0" fontId="0" fillId="32" borderId="3" xfId="1" applyNumberFormat="1" applyFont="1" applyFill="1" applyBorder="1" applyAlignment="1" applyProtection="1">
      <alignment horizontal="left"/>
      <protection locked="0"/>
    </xf>
    <xf numFmtId="0" fontId="0" fillId="32" borderId="4" xfId="1" applyNumberFormat="1" applyFont="1" applyFill="1" applyBorder="1" applyAlignment="1" applyProtection="1">
      <alignment horizontal="left"/>
      <protection locked="0"/>
    </xf>
    <xf numFmtId="0" fontId="15" fillId="7" borderId="0" xfId="0" applyFont="1" applyFill="1" applyAlignment="1">
      <alignment horizontal="left"/>
    </xf>
    <xf numFmtId="0" fontId="2" fillId="9" borderId="2" xfId="0" applyFont="1" applyFill="1" applyBorder="1" applyAlignment="1">
      <alignment horizontal="center"/>
    </xf>
    <xf numFmtId="0" fontId="2" fillId="9" borderId="3" xfId="0" applyFont="1" applyFill="1" applyBorder="1" applyAlignment="1">
      <alignment horizontal="center"/>
    </xf>
    <xf numFmtId="0" fontId="2" fillId="9" borderId="4" xfId="0" applyFont="1" applyFill="1" applyBorder="1" applyAlignment="1">
      <alignment horizontal="center"/>
    </xf>
    <xf numFmtId="0" fontId="24" fillId="5" borderId="2" xfId="0" applyFont="1" applyFill="1" applyBorder="1" applyAlignment="1">
      <alignment horizontal="left"/>
    </xf>
    <xf numFmtId="0" fontId="24" fillId="5" borderId="3" xfId="0" applyFont="1" applyFill="1" applyBorder="1" applyAlignment="1">
      <alignment horizontal="left"/>
    </xf>
    <xf numFmtId="0" fontId="24" fillId="5" borderId="4" xfId="0" applyFont="1" applyFill="1" applyBorder="1" applyAlignment="1">
      <alignment horizontal="left"/>
    </xf>
    <xf numFmtId="0" fontId="0" fillId="3" borderId="45" xfId="0" applyFill="1" applyBorder="1" applyAlignment="1">
      <alignment horizontal="center" vertical="center" textRotation="90"/>
    </xf>
    <xf numFmtId="0" fontId="0" fillId="3" borderId="46" xfId="0" applyFill="1" applyBorder="1" applyAlignment="1">
      <alignment horizontal="center" vertical="center" textRotation="90"/>
    </xf>
    <xf numFmtId="0" fontId="0" fillId="3" borderId="47" xfId="0" applyFill="1" applyBorder="1" applyAlignment="1">
      <alignment horizontal="center" vertical="center" textRotation="90"/>
    </xf>
    <xf numFmtId="0" fontId="0" fillId="3" borderId="37" xfId="0" applyFill="1" applyBorder="1" applyAlignment="1">
      <alignment horizontal="center" vertical="center" textRotation="90"/>
    </xf>
    <xf numFmtId="0" fontId="0" fillId="3" borderId="38" xfId="0" applyFill="1" applyBorder="1" applyAlignment="1">
      <alignment horizontal="center" vertical="center" textRotation="90"/>
    </xf>
    <xf numFmtId="0" fontId="0" fillId="3" borderId="39" xfId="0" applyFill="1" applyBorder="1" applyAlignment="1">
      <alignment horizontal="center" vertical="center" textRotation="90"/>
    </xf>
    <xf numFmtId="0" fontId="0" fillId="3" borderId="37" xfId="0" applyFill="1" applyBorder="1" applyAlignment="1">
      <alignment horizontal="center" vertical="center" textRotation="90" wrapText="1"/>
    </xf>
    <xf numFmtId="0" fontId="0" fillId="3" borderId="38" xfId="0" applyFill="1" applyBorder="1" applyAlignment="1">
      <alignment horizontal="center" vertical="center" textRotation="90" wrapText="1"/>
    </xf>
    <xf numFmtId="0" fontId="0" fillId="3" borderId="39" xfId="0" applyFill="1" applyBorder="1" applyAlignment="1">
      <alignment horizontal="center" vertical="center" textRotation="90" wrapText="1"/>
    </xf>
    <xf numFmtId="0" fontId="23" fillId="5" borderId="2" xfId="0" applyFont="1" applyFill="1" applyBorder="1" applyAlignment="1">
      <alignment horizontal="left"/>
    </xf>
    <xf numFmtId="0" fontId="23" fillId="5" borderId="3" xfId="0" applyFont="1" applyFill="1" applyBorder="1" applyAlignment="1">
      <alignment horizontal="left"/>
    </xf>
    <xf numFmtId="0" fontId="23" fillId="5" borderId="4" xfId="0" applyFont="1" applyFill="1" applyBorder="1" applyAlignment="1">
      <alignment horizontal="left"/>
    </xf>
    <xf numFmtId="9" fontId="23" fillId="5" borderId="2" xfId="2" applyFont="1" applyFill="1" applyBorder="1" applyAlignment="1">
      <alignment horizontal="left"/>
    </xf>
    <xf numFmtId="9" fontId="23" fillId="5" borderId="3" xfId="2" applyFont="1" applyFill="1" applyBorder="1" applyAlignment="1">
      <alignment horizontal="left"/>
    </xf>
    <xf numFmtId="9" fontId="23" fillId="5" borderId="4" xfId="2" applyFont="1" applyFill="1" applyBorder="1" applyAlignment="1">
      <alignment horizontal="left"/>
    </xf>
    <xf numFmtId="0" fontId="3" fillId="5" borderId="2" xfId="0" applyFont="1" applyFill="1" applyBorder="1" applyAlignment="1">
      <alignment horizontal="left" wrapText="1"/>
    </xf>
    <xf numFmtId="0" fontId="3" fillId="5" borderId="3" xfId="0" applyFont="1" applyFill="1" applyBorder="1" applyAlignment="1">
      <alignment horizontal="left" wrapText="1"/>
    </xf>
    <xf numFmtId="0" fontId="3" fillId="5" borderId="4" xfId="0" applyFont="1" applyFill="1" applyBorder="1" applyAlignment="1">
      <alignment horizontal="left" wrapText="1"/>
    </xf>
    <xf numFmtId="0" fontId="3" fillId="6" borderId="2" xfId="0" applyFont="1" applyFill="1" applyBorder="1" applyAlignment="1">
      <alignment horizontal="left" wrapText="1"/>
    </xf>
    <xf numFmtId="0" fontId="3" fillId="6" borderId="3" xfId="0" applyFont="1" applyFill="1" applyBorder="1" applyAlignment="1">
      <alignment horizontal="left" wrapText="1"/>
    </xf>
    <xf numFmtId="0" fontId="3" fillId="6" borderId="4" xfId="0" applyFont="1" applyFill="1" applyBorder="1" applyAlignment="1">
      <alignment horizontal="left" wrapText="1"/>
    </xf>
    <xf numFmtId="0" fontId="0" fillId="6" borderId="2" xfId="0"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0" fillId="5" borderId="2" xfId="0" applyFill="1" applyBorder="1" applyAlignment="1">
      <alignment horizontal="left" vertical="top" wrapText="1"/>
    </xf>
    <xf numFmtId="0" fontId="0" fillId="5" borderId="3" xfId="0" applyFill="1" applyBorder="1" applyAlignment="1">
      <alignment horizontal="left" vertical="top" wrapText="1"/>
    </xf>
    <xf numFmtId="0" fontId="0" fillId="5" borderId="4" xfId="0" applyFill="1" applyBorder="1" applyAlignment="1">
      <alignment horizontal="left" vertical="top" wrapText="1"/>
    </xf>
    <xf numFmtId="0" fontId="0" fillId="8" borderId="2" xfId="0" applyFill="1" applyBorder="1" applyAlignment="1" applyProtection="1">
      <alignment horizontal="left"/>
      <protection locked="0"/>
    </xf>
    <xf numFmtId="0" fontId="0" fillId="8" borderId="4" xfId="0" applyFill="1" applyBorder="1" applyAlignment="1" applyProtection="1">
      <alignment horizontal="left"/>
      <protection locked="0"/>
    </xf>
    <xf numFmtId="0" fontId="4" fillId="7" borderId="0" xfId="0" applyFont="1" applyFill="1" applyAlignment="1">
      <alignment horizontal="left" vertical="top" wrapText="1"/>
    </xf>
    <xf numFmtId="0" fontId="0" fillId="3" borderId="34" xfId="0" applyFill="1" applyBorder="1" applyAlignment="1">
      <alignment horizontal="center" vertical="center" textRotation="90"/>
    </xf>
    <xf numFmtId="0" fontId="0" fillId="3" borderId="35" xfId="0" applyFill="1" applyBorder="1" applyAlignment="1">
      <alignment horizontal="center" vertical="center" textRotation="90"/>
    </xf>
    <xf numFmtId="0" fontId="0" fillId="3" borderId="36" xfId="0" applyFill="1" applyBorder="1" applyAlignment="1">
      <alignment horizontal="center" vertical="center" textRotation="90"/>
    </xf>
    <xf numFmtId="0" fontId="5" fillId="7" borderId="0" xfId="0" applyFont="1" applyFill="1" applyAlignment="1">
      <alignment horizontal="left" wrapText="1"/>
    </xf>
    <xf numFmtId="0" fontId="5" fillId="7" borderId="29" xfId="0" applyFont="1" applyFill="1" applyBorder="1" applyAlignment="1">
      <alignment horizontal="left" wrapText="1"/>
    </xf>
    <xf numFmtId="0" fontId="0" fillId="3" borderId="33" xfId="0" applyFill="1" applyBorder="1" applyAlignment="1">
      <alignment horizontal="center" vertical="center" textRotation="90" wrapText="1"/>
    </xf>
    <xf numFmtId="0" fontId="0" fillId="3" borderId="33" xfId="0" applyFill="1" applyBorder="1" applyAlignment="1">
      <alignment horizontal="center" vertical="center" textRotation="90"/>
    </xf>
    <xf numFmtId="0" fontId="0" fillId="3" borderId="48" xfId="0" applyFill="1" applyBorder="1" applyAlignment="1">
      <alignment horizontal="center" vertical="center" textRotation="90"/>
    </xf>
    <xf numFmtId="0" fontId="0" fillId="8" borderId="14" xfId="0" applyFill="1" applyBorder="1" applyAlignment="1" applyProtection="1">
      <alignment horizontal="left" vertical="top" wrapText="1"/>
      <protection locked="0"/>
    </xf>
    <xf numFmtId="0" fontId="0" fillId="8" borderId="5" xfId="0" applyFill="1" applyBorder="1" applyAlignment="1" applyProtection="1">
      <alignment horizontal="left" vertical="top" wrapText="1"/>
      <protection locked="0"/>
    </xf>
    <xf numFmtId="0" fontId="0" fillId="8" borderId="28" xfId="0" applyFill="1" applyBorder="1" applyAlignment="1" applyProtection="1">
      <alignment horizontal="left" vertical="top" wrapText="1"/>
      <protection locked="0"/>
    </xf>
    <xf numFmtId="0" fontId="0" fillId="8" borderId="18" xfId="0" applyFill="1" applyBorder="1" applyAlignment="1" applyProtection="1">
      <alignment horizontal="left" vertical="top" wrapText="1"/>
      <protection locked="0"/>
    </xf>
    <xf numFmtId="0" fontId="0" fillId="8" borderId="0" xfId="0" applyFill="1" applyAlignment="1" applyProtection="1">
      <alignment horizontal="left" vertical="top" wrapText="1"/>
      <protection locked="0"/>
    </xf>
    <xf numFmtId="0" fontId="0" fillId="8" borderId="29" xfId="0" applyFill="1" applyBorder="1" applyAlignment="1" applyProtection="1">
      <alignment horizontal="left" vertical="top" wrapText="1"/>
      <protection locked="0"/>
    </xf>
    <xf numFmtId="0" fontId="0" fillId="8" borderId="30" xfId="0" applyFill="1" applyBorder="1" applyAlignment="1" applyProtection="1">
      <alignment horizontal="left" vertical="top" wrapText="1"/>
      <protection locked="0"/>
    </xf>
    <xf numFmtId="0" fontId="0" fillId="8" borderId="40" xfId="0" applyFill="1" applyBorder="1" applyAlignment="1" applyProtection="1">
      <alignment horizontal="left" vertical="top" wrapText="1"/>
      <protection locked="0"/>
    </xf>
    <xf numFmtId="0" fontId="0" fillId="8" borderId="31" xfId="0" applyFill="1" applyBorder="1" applyAlignment="1" applyProtection="1">
      <alignment horizontal="left" vertical="top" wrapText="1"/>
      <protection locked="0"/>
    </xf>
    <xf numFmtId="0" fontId="19" fillId="14" borderId="56" xfId="0" applyFont="1" applyFill="1" applyBorder="1" applyAlignment="1">
      <alignment horizontal="left"/>
    </xf>
    <xf numFmtId="0" fontId="19" fillId="14" borderId="58" xfId="0" applyFont="1" applyFill="1" applyBorder="1" applyAlignment="1">
      <alignment horizontal="left"/>
    </xf>
    <xf numFmtId="0" fontId="5" fillId="5" borderId="2" xfId="0" applyFont="1" applyFill="1" applyBorder="1" applyAlignment="1">
      <alignment horizontal="left"/>
    </xf>
    <xf numFmtId="0" fontId="5" fillId="5" borderId="4" xfId="0" applyFont="1" applyFill="1" applyBorder="1" applyAlignment="1">
      <alignment horizontal="left"/>
    </xf>
    <xf numFmtId="0" fontId="0" fillId="5" borderId="2" xfId="1" applyNumberFormat="1" applyFont="1" applyFill="1" applyBorder="1" applyAlignment="1">
      <alignment horizontal="left"/>
    </xf>
    <xf numFmtId="0" fontId="0" fillId="5" borderId="4" xfId="1" applyNumberFormat="1" applyFont="1" applyFill="1" applyBorder="1" applyAlignment="1">
      <alignment horizontal="left"/>
    </xf>
    <xf numFmtId="0" fontId="0" fillId="8" borderId="2" xfId="1" applyNumberFormat="1" applyFont="1" applyFill="1" applyBorder="1" applyAlignment="1" applyProtection="1">
      <alignment horizontal="left"/>
      <protection locked="0"/>
    </xf>
    <xf numFmtId="0" fontId="0" fillId="8" borderId="4" xfId="1" applyNumberFormat="1" applyFont="1" applyFill="1" applyBorder="1" applyAlignment="1" applyProtection="1">
      <alignment horizontal="left"/>
      <protection locked="0"/>
    </xf>
    <xf numFmtId="0" fontId="2" fillId="9" borderId="2" xfId="0" applyFont="1" applyFill="1" applyBorder="1" applyAlignment="1">
      <alignment horizontal="center" wrapText="1"/>
    </xf>
    <xf numFmtId="0" fontId="2" fillId="9" borderId="4" xfId="0" applyFont="1" applyFill="1" applyBorder="1" applyAlignment="1">
      <alignment horizontal="center" wrapText="1"/>
    </xf>
    <xf numFmtId="0" fontId="30" fillId="9" borderId="2" xfId="0" applyFont="1" applyFill="1" applyBorder="1" applyAlignment="1">
      <alignment horizontal="center" vertical="center" wrapText="1"/>
    </xf>
    <xf numFmtId="0" fontId="30" fillId="9" borderId="3" xfId="0" applyFont="1" applyFill="1" applyBorder="1" applyAlignment="1">
      <alignment horizontal="center" vertical="center" wrapText="1"/>
    </xf>
    <xf numFmtId="0" fontId="30" fillId="9" borderId="4" xfId="0" applyFont="1" applyFill="1" applyBorder="1" applyAlignment="1">
      <alignment horizontal="center" vertical="center" wrapText="1"/>
    </xf>
    <xf numFmtId="0" fontId="5" fillId="8" borderId="2" xfId="0" applyFont="1" applyFill="1" applyBorder="1" applyAlignment="1" applyProtection="1">
      <alignment horizontal="left"/>
      <protection locked="0"/>
    </xf>
    <xf numFmtId="0" fontId="5" fillId="8" borderId="4" xfId="0" applyFont="1" applyFill="1" applyBorder="1" applyAlignment="1" applyProtection="1">
      <alignment horizontal="left"/>
      <protection locked="0"/>
    </xf>
    <xf numFmtId="0" fontId="2" fillId="2" borderId="2" xfId="0" applyFont="1" applyFill="1" applyBorder="1" applyAlignment="1">
      <alignment horizontal="left"/>
    </xf>
    <xf numFmtId="0" fontId="2" fillId="2" borderId="3" xfId="0" applyFont="1" applyFill="1" applyBorder="1" applyAlignment="1">
      <alignment horizontal="left"/>
    </xf>
    <xf numFmtId="0" fontId="2" fillId="2" borderId="4" xfId="0" applyFont="1" applyFill="1" applyBorder="1" applyAlignment="1">
      <alignment horizontal="left"/>
    </xf>
    <xf numFmtId="0" fontId="0" fillId="3" borderId="49" xfId="0" applyFill="1" applyBorder="1" applyAlignment="1">
      <alignment horizontal="center" vertical="center" textRotation="90" wrapText="1"/>
    </xf>
    <xf numFmtId="0" fontId="2" fillId="9" borderId="2" xfId="0" applyFont="1" applyFill="1" applyBorder="1" applyAlignment="1">
      <alignment horizontal="right"/>
    </xf>
    <xf numFmtId="0" fontId="2" fillId="9" borderId="3" xfId="0" applyFont="1" applyFill="1" applyBorder="1" applyAlignment="1">
      <alignment horizontal="right"/>
    </xf>
    <xf numFmtId="0" fontId="2" fillId="9" borderId="4" xfId="0" applyFont="1" applyFill="1" applyBorder="1" applyAlignment="1">
      <alignment horizontal="right"/>
    </xf>
    <xf numFmtId="0" fontId="2" fillId="2" borderId="2" xfId="0" applyFont="1" applyFill="1" applyBorder="1" applyAlignment="1">
      <alignment horizontal="right"/>
    </xf>
    <xf numFmtId="0" fontId="2" fillId="2" borderId="3" xfId="0" applyFont="1" applyFill="1" applyBorder="1" applyAlignment="1">
      <alignment horizontal="right"/>
    </xf>
    <xf numFmtId="0" fontId="2" fillId="2" borderId="4" xfId="0" applyFont="1" applyFill="1" applyBorder="1" applyAlignment="1">
      <alignment horizontal="right"/>
    </xf>
    <xf numFmtId="0" fontId="0" fillId="8" borderId="2" xfId="0" applyFill="1" applyBorder="1" applyAlignment="1" applyProtection="1">
      <alignment horizontal="left" vertical="top" wrapText="1"/>
      <protection locked="0"/>
    </xf>
    <xf numFmtId="0" fontId="0" fillId="8" borderId="3" xfId="0" applyFill="1" applyBorder="1" applyAlignment="1" applyProtection="1">
      <alignment horizontal="left" vertical="top" wrapText="1"/>
      <protection locked="0"/>
    </xf>
    <xf numFmtId="0" fontId="0" fillId="8" borderId="4" xfId="0" applyFill="1" applyBorder="1" applyAlignment="1" applyProtection="1">
      <alignment horizontal="left" vertical="top" wrapText="1"/>
      <protection locked="0"/>
    </xf>
    <xf numFmtId="0" fontId="0" fillId="5" borderId="2" xfId="0" applyFill="1" applyBorder="1" applyAlignment="1">
      <alignment horizontal="center"/>
    </xf>
    <xf numFmtId="0" fontId="0" fillId="5" borderId="4" xfId="0" applyFill="1" applyBorder="1" applyAlignment="1">
      <alignment horizontal="center"/>
    </xf>
    <xf numFmtId="0" fontId="2" fillId="9" borderId="2" xfId="0" applyFont="1" applyFill="1" applyBorder="1" applyAlignment="1">
      <alignment horizontal="left" wrapText="1"/>
    </xf>
    <xf numFmtId="0" fontId="2" fillId="9" borderId="4" xfId="0" applyFont="1" applyFill="1" applyBorder="1" applyAlignment="1">
      <alignment horizontal="left" wrapText="1"/>
    </xf>
    <xf numFmtId="0" fontId="5" fillId="24" borderId="2" xfId="0" applyFont="1" applyFill="1" applyBorder="1" applyAlignment="1">
      <alignment horizontal="left" vertical="top" wrapText="1"/>
    </xf>
    <xf numFmtId="0" fontId="5" fillId="24" borderId="3" xfId="0" applyFont="1" applyFill="1" applyBorder="1" applyAlignment="1">
      <alignment horizontal="left" vertical="top" wrapText="1"/>
    </xf>
    <xf numFmtId="0" fontId="5" fillId="24" borderId="4" xfId="0" applyFont="1" applyFill="1" applyBorder="1" applyAlignment="1">
      <alignment horizontal="left" vertical="top" wrapText="1"/>
    </xf>
    <xf numFmtId="0" fontId="2" fillId="9" borderId="3" xfId="0" applyFont="1" applyFill="1" applyBorder="1" applyAlignment="1">
      <alignment horizontal="left" wrapText="1"/>
    </xf>
    <xf numFmtId="0" fontId="0" fillId="5" borderId="2" xfId="0" applyFill="1" applyBorder="1" applyAlignment="1">
      <alignment horizontal="left" wrapText="1"/>
    </xf>
    <xf numFmtId="0" fontId="0" fillId="5" borderId="3" xfId="0" applyFill="1" applyBorder="1" applyAlignment="1">
      <alignment horizontal="left" wrapText="1"/>
    </xf>
    <xf numFmtId="0" fontId="0" fillId="5" borderId="4" xfId="0" applyFill="1" applyBorder="1" applyAlignment="1">
      <alignment horizontal="left" wrapText="1"/>
    </xf>
    <xf numFmtId="0" fontId="0" fillId="6" borderId="2" xfId="0" applyFill="1" applyBorder="1" applyAlignment="1">
      <alignment horizontal="left" wrapText="1"/>
    </xf>
    <xf numFmtId="0" fontId="0" fillId="6" borderId="3" xfId="0" applyFill="1" applyBorder="1" applyAlignment="1">
      <alignment horizontal="left" wrapText="1"/>
    </xf>
    <xf numFmtId="0" fontId="0" fillId="6" borderId="4" xfId="0" applyFill="1" applyBorder="1" applyAlignment="1">
      <alignment horizontal="left" wrapText="1"/>
    </xf>
    <xf numFmtId="0" fontId="5" fillId="5" borderId="2" xfId="0" applyFont="1" applyFill="1" applyBorder="1" applyAlignment="1">
      <alignment horizontal="left" vertical="top" wrapText="1"/>
    </xf>
    <xf numFmtId="0" fontId="5" fillId="5" borderId="3" xfId="0" applyFont="1" applyFill="1" applyBorder="1" applyAlignment="1">
      <alignment horizontal="left" vertical="top" wrapText="1"/>
    </xf>
    <xf numFmtId="0" fontId="5" fillId="5" borderId="4" xfId="0" applyFont="1" applyFill="1" applyBorder="1" applyAlignment="1">
      <alignment horizontal="left" vertical="top" wrapText="1"/>
    </xf>
    <xf numFmtId="0" fontId="0" fillId="10" borderId="2" xfId="0" applyFill="1" applyBorder="1" applyAlignment="1" applyProtection="1">
      <alignment horizontal="left"/>
      <protection locked="0"/>
    </xf>
    <xf numFmtId="0" fontId="0" fillId="10" borderId="3" xfId="0" applyFill="1" applyBorder="1" applyAlignment="1" applyProtection="1">
      <alignment horizontal="left"/>
      <protection locked="0"/>
    </xf>
    <xf numFmtId="0" fontId="0" fillId="10" borderId="4" xfId="0" applyFill="1" applyBorder="1" applyAlignment="1" applyProtection="1">
      <alignment horizontal="left"/>
      <protection locked="0"/>
    </xf>
    <xf numFmtId="0" fontId="19" fillId="5" borderId="2" xfId="0" applyFont="1" applyFill="1" applyBorder="1" applyAlignment="1">
      <alignment horizontal="center"/>
    </xf>
    <xf numFmtId="0" fontId="19" fillId="5" borderId="4" xfId="0" applyFont="1" applyFill="1" applyBorder="1" applyAlignment="1">
      <alignment horizontal="center"/>
    </xf>
    <xf numFmtId="0" fontId="29" fillId="7" borderId="40" xfId="0" applyFont="1" applyFill="1" applyBorder="1" applyAlignment="1">
      <alignment horizontal="center"/>
    </xf>
    <xf numFmtId="0" fontId="2" fillId="9" borderId="1" xfId="0" applyFont="1" applyFill="1" applyBorder="1" applyAlignment="1">
      <alignment horizontal="center"/>
    </xf>
    <xf numFmtId="0" fontId="0" fillId="5" borderId="1" xfId="0" applyFill="1" applyBorder="1" applyAlignment="1">
      <alignment horizontal="center"/>
    </xf>
    <xf numFmtId="0" fontId="0" fillId="10" borderId="1" xfId="0" applyFill="1" applyBorder="1" applyAlignment="1" applyProtection="1">
      <alignment horizontal="left"/>
      <protection locked="0"/>
    </xf>
    <xf numFmtId="44" fontId="0" fillId="5" borderId="2" xfId="0" applyNumberFormat="1" applyFill="1" applyBorder="1" applyAlignment="1">
      <alignment horizontal="center"/>
    </xf>
    <xf numFmtId="44" fontId="0" fillId="5" borderId="3" xfId="0" applyNumberFormat="1" applyFill="1" applyBorder="1" applyAlignment="1">
      <alignment horizontal="center"/>
    </xf>
    <xf numFmtId="44" fontId="0" fillId="5" borderId="4" xfId="0" applyNumberFormat="1" applyFill="1" applyBorder="1" applyAlignment="1">
      <alignment horizontal="center"/>
    </xf>
    <xf numFmtId="0" fontId="2" fillId="9" borderId="2" xfId="0" applyFont="1" applyFill="1" applyBorder="1" applyAlignment="1">
      <alignment horizontal="left"/>
    </xf>
    <xf numFmtId="0" fontId="2" fillId="9" borderId="3" xfId="0" applyFont="1" applyFill="1" applyBorder="1" applyAlignment="1">
      <alignment horizontal="left"/>
    </xf>
    <xf numFmtId="0" fontId="2" fillId="9" borderId="4" xfId="0" applyFont="1" applyFill="1" applyBorder="1" applyAlignment="1">
      <alignment horizontal="left"/>
    </xf>
    <xf numFmtId="0" fontId="0" fillId="5" borderId="19" xfId="1" applyNumberFormat="1" applyFont="1" applyFill="1" applyBorder="1" applyAlignment="1" applyProtection="1">
      <alignment horizontal="left"/>
    </xf>
    <xf numFmtId="0" fontId="0" fillId="5" borderId="1" xfId="0" applyFill="1" applyBorder="1" applyAlignment="1">
      <alignment horizontal="left" vertical="top" wrapText="1"/>
    </xf>
    <xf numFmtId="0" fontId="0" fillId="8" borderId="1" xfId="0" applyFill="1" applyBorder="1" applyAlignment="1" applyProtection="1">
      <alignment horizontal="left" vertical="top" wrapText="1"/>
      <protection locked="0"/>
    </xf>
    <xf numFmtId="0" fontId="0" fillId="8" borderId="1" xfId="0" applyFill="1" applyBorder="1" applyAlignment="1" applyProtection="1">
      <alignment horizontal="left"/>
      <protection locked="0"/>
    </xf>
    <xf numFmtId="0" fontId="0" fillId="8" borderId="1" xfId="0" applyFill="1" applyBorder="1" applyAlignment="1" applyProtection="1">
      <alignment horizontal="left" wrapText="1"/>
      <protection locked="0"/>
    </xf>
    <xf numFmtId="0" fontId="19" fillId="3" borderId="15" xfId="0" applyFont="1" applyFill="1" applyBorder="1" applyAlignment="1">
      <alignment horizontal="center" vertical="center" textRotation="90"/>
    </xf>
    <xf numFmtId="0" fontId="19" fillId="3" borderId="16" xfId="0" applyFont="1" applyFill="1" applyBorder="1" applyAlignment="1">
      <alignment horizontal="center" vertical="center" textRotation="90"/>
    </xf>
    <xf numFmtId="0" fontId="19" fillId="3" borderId="17" xfId="0" applyFont="1" applyFill="1" applyBorder="1" applyAlignment="1">
      <alignment horizontal="center" vertical="center" textRotation="90"/>
    </xf>
    <xf numFmtId="0" fontId="0" fillId="3" borderId="15" xfId="0" applyFill="1" applyBorder="1" applyAlignment="1">
      <alignment horizontal="center" vertical="center" textRotation="90"/>
    </xf>
    <xf numFmtId="0" fontId="0" fillId="3" borderId="16" xfId="0" applyFill="1" applyBorder="1" applyAlignment="1">
      <alignment horizontal="center" vertical="center" textRotation="90"/>
    </xf>
    <xf numFmtId="0" fontId="0" fillId="3" borderId="17" xfId="0" applyFill="1" applyBorder="1" applyAlignment="1">
      <alignment horizontal="center" vertical="center" textRotation="90"/>
    </xf>
    <xf numFmtId="0" fontId="0" fillId="0" borderId="0" xfId="0" applyAlignment="1">
      <alignment horizontal="center" vertical="center" wrapText="1"/>
    </xf>
    <xf numFmtId="0" fontId="2" fillId="9" borderId="1" xfId="0" applyFont="1" applyFill="1" applyBorder="1" applyAlignment="1">
      <alignment horizontal="left" wrapText="1"/>
    </xf>
    <xf numFmtId="0" fontId="12" fillId="7" borderId="72" xfId="0" applyFont="1" applyFill="1" applyBorder="1" applyAlignment="1">
      <alignment horizontal="left" vertical="top" wrapText="1"/>
    </xf>
    <xf numFmtId="0" fontId="4" fillId="7" borderId="72" xfId="0" applyFont="1" applyFill="1" applyBorder="1" applyAlignment="1">
      <alignment horizontal="left" vertical="top" wrapText="1"/>
    </xf>
    <xf numFmtId="0" fontId="5" fillId="7" borderId="0" xfId="0" applyFont="1" applyFill="1" applyAlignment="1">
      <alignment horizontal="left" vertical="top" wrapText="1"/>
    </xf>
    <xf numFmtId="0" fontId="0" fillId="7" borderId="0" xfId="0" applyFill="1" applyAlignment="1" applyProtection="1">
      <alignment horizontal="left"/>
      <protection locked="0"/>
    </xf>
    <xf numFmtId="0" fontId="3" fillId="5" borderId="1" xfId="0" applyFont="1" applyFill="1" applyBorder="1" applyAlignment="1">
      <alignment horizontal="left" vertical="top" wrapText="1"/>
    </xf>
    <xf numFmtId="0" fontId="5" fillId="8" borderId="1" xfId="0" applyFont="1" applyFill="1" applyBorder="1" applyAlignment="1" applyProtection="1">
      <alignment horizontal="left" vertical="top" wrapText="1"/>
      <protection locked="0"/>
    </xf>
    <xf numFmtId="0" fontId="2" fillId="0" borderId="0" xfId="0" applyFont="1" applyAlignment="1">
      <alignment horizontal="center"/>
    </xf>
    <xf numFmtId="0" fontId="0" fillId="8" borderId="3" xfId="0" applyFill="1" applyBorder="1" applyAlignment="1" applyProtection="1">
      <alignment horizontal="left"/>
      <protection locked="0"/>
    </xf>
    <xf numFmtId="0" fontId="0" fillId="20" borderId="2" xfId="0" applyFill="1" applyBorder="1" applyAlignment="1">
      <alignment horizontal="left" vertical="top" wrapText="1"/>
    </xf>
    <xf numFmtId="0" fontId="0" fillId="20" borderId="3" xfId="0" applyFill="1" applyBorder="1" applyAlignment="1">
      <alignment horizontal="left" vertical="top" wrapText="1"/>
    </xf>
    <xf numFmtId="0" fontId="0" fillId="20" borderId="4" xfId="0" applyFill="1" applyBorder="1" applyAlignment="1">
      <alignment horizontal="left" vertical="top" wrapText="1"/>
    </xf>
    <xf numFmtId="0" fontId="16" fillId="7" borderId="0" xfId="3" applyFont="1" applyFill="1" applyBorder="1" applyAlignment="1" applyProtection="1">
      <alignment horizontal="center" vertical="center"/>
    </xf>
    <xf numFmtId="0" fontId="10" fillId="7" borderId="0" xfId="3" applyFill="1" applyBorder="1" applyAlignment="1" applyProtection="1">
      <alignment horizontal="center" vertical="center"/>
    </xf>
    <xf numFmtId="0" fontId="0" fillId="5" borderId="1" xfId="0" applyFill="1" applyBorder="1" applyAlignment="1">
      <alignment horizontal="left"/>
    </xf>
    <xf numFmtId="0" fontId="4" fillId="7" borderId="18" xfId="0" applyFont="1" applyFill="1" applyBorder="1" applyAlignment="1">
      <alignment horizontal="left" wrapText="1"/>
    </xf>
    <xf numFmtId="0" fontId="4" fillId="7" borderId="0" xfId="0" quotePrefix="1" applyFont="1" applyFill="1" applyAlignment="1">
      <alignment horizontal="left" vertical="top" wrapText="1"/>
    </xf>
    <xf numFmtId="0" fontId="12" fillId="7" borderId="0" xfId="0" quotePrefix="1" applyFont="1" applyFill="1" applyAlignment="1">
      <alignment horizontal="left"/>
    </xf>
    <xf numFmtId="0" fontId="0" fillId="3" borderId="42" xfId="0" applyFill="1" applyBorder="1" applyAlignment="1">
      <alignment horizontal="center" vertical="center" textRotation="90"/>
    </xf>
    <xf numFmtId="0" fontId="0" fillId="3" borderId="43" xfId="0" applyFill="1" applyBorder="1" applyAlignment="1">
      <alignment horizontal="center" vertical="center" textRotation="90"/>
    </xf>
    <xf numFmtId="0" fontId="0" fillId="3" borderId="44" xfId="0" applyFill="1" applyBorder="1" applyAlignment="1">
      <alignment horizontal="center" vertical="center" textRotation="90"/>
    </xf>
    <xf numFmtId="0" fontId="0" fillId="19" borderId="2" xfId="0" applyFill="1" applyBorder="1" applyAlignment="1" applyProtection="1">
      <alignment horizontal="left" vertical="top" wrapText="1"/>
      <protection locked="0"/>
    </xf>
    <xf numFmtId="0" fontId="0" fillId="19" borderId="3" xfId="0" applyFill="1" applyBorder="1" applyAlignment="1" applyProtection="1">
      <alignment horizontal="left" vertical="top" wrapText="1"/>
      <protection locked="0"/>
    </xf>
    <xf numFmtId="0" fontId="0" fillId="19" borderId="4" xfId="0" applyFill="1" applyBorder="1" applyAlignment="1" applyProtection="1">
      <alignment horizontal="left" vertical="top" wrapText="1"/>
      <protection locked="0"/>
    </xf>
    <xf numFmtId="9" fontId="0" fillId="5" borderId="2" xfId="1" applyNumberFormat="1" applyFont="1" applyFill="1" applyBorder="1" applyAlignment="1" applyProtection="1">
      <alignment horizontal="left" vertical="top"/>
    </xf>
    <xf numFmtId="9" fontId="0" fillId="5" borderId="3" xfId="1" applyNumberFormat="1" applyFont="1" applyFill="1" applyBorder="1" applyAlignment="1" applyProtection="1">
      <alignment horizontal="left" vertical="top"/>
    </xf>
    <xf numFmtId="9" fontId="0" fillId="5" borderId="4" xfId="1" applyNumberFormat="1" applyFont="1" applyFill="1" applyBorder="1" applyAlignment="1" applyProtection="1">
      <alignment horizontal="left" vertical="top"/>
    </xf>
    <xf numFmtId="0" fontId="10" fillId="0" borderId="0" xfId="3" applyAlignment="1">
      <alignment horizontal="left"/>
    </xf>
    <xf numFmtId="0" fontId="0" fillId="20" borderId="0" xfId="0" applyFill="1" applyAlignment="1" applyProtection="1">
      <alignment horizontal="left" vertical="top" wrapText="1"/>
      <protection locked="0"/>
    </xf>
    <xf numFmtId="0" fontId="3" fillId="8" borderId="1" xfId="0" applyFont="1" applyFill="1" applyBorder="1" applyAlignment="1" applyProtection="1">
      <alignment horizontal="left" vertical="top" wrapText="1"/>
      <protection locked="0"/>
    </xf>
    <xf numFmtId="0" fontId="29" fillId="7" borderId="0" xfId="0" applyFont="1" applyFill="1" applyAlignment="1" applyProtection="1">
      <alignment horizontal="left" vertical="top" wrapText="1"/>
      <protection locked="0"/>
    </xf>
    <xf numFmtId="0" fontId="20" fillId="7" borderId="72" xfId="0" quotePrefix="1" applyFont="1" applyFill="1" applyBorder="1" applyAlignment="1">
      <alignment horizontal="left" vertical="top" wrapText="1"/>
    </xf>
    <xf numFmtId="0" fontId="71" fillId="19" borderId="1" xfId="0" applyFont="1" applyFill="1" applyBorder="1" applyAlignment="1" applyProtection="1">
      <alignment horizontal="left" vertical="top" wrapText="1"/>
      <protection locked="0"/>
    </xf>
    <xf numFmtId="0" fontId="0" fillId="8" borderId="14" xfId="0" quotePrefix="1" applyFill="1" applyBorder="1" applyAlignment="1" applyProtection="1">
      <alignment horizontal="left" vertical="top" wrapText="1"/>
      <protection locked="0"/>
    </xf>
    <xf numFmtId="0" fontId="0" fillId="8" borderId="5" xfId="0" quotePrefix="1" applyFill="1" applyBorder="1" applyAlignment="1" applyProtection="1">
      <alignment horizontal="left" vertical="top" wrapText="1"/>
      <protection locked="0"/>
    </xf>
    <xf numFmtId="0" fontId="0" fillId="8" borderId="28" xfId="0" quotePrefix="1" applyFill="1" applyBorder="1" applyAlignment="1" applyProtection="1">
      <alignment horizontal="left" vertical="top" wrapText="1"/>
      <protection locked="0"/>
    </xf>
    <xf numFmtId="0" fontId="0" fillId="8" borderId="18" xfId="0" quotePrefix="1" applyFill="1" applyBorder="1" applyAlignment="1" applyProtection="1">
      <alignment horizontal="left" vertical="top" wrapText="1"/>
      <protection locked="0"/>
    </xf>
    <xf numFmtId="0" fontId="0" fillId="8" borderId="0" xfId="0" quotePrefix="1" applyFill="1" applyAlignment="1" applyProtection="1">
      <alignment horizontal="left" vertical="top" wrapText="1"/>
      <protection locked="0"/>
    </xf>
    <xf numFmtId="0" fontId="0" fillId="8" borderId="29" xfId="0" quotePrefix="1" applyFill="1" applyBorder="1" applyAlignment="1" applyProtection="1">
      <alignment horizontal="left" vertical="top" wrapText="1"/>
      <protection locked="0"/>
    </xf>
    <xf numFmtId="0" fontId="0" fillId="8" borderId="30" xfId="0" quotePrefix="1" applyFill="1" applyBorder="1" applyAlignment="1" applyProtection="1">
      <alignment horizontal="left" vertical="top" wrapText="1"/>
      <protection locked="0"/>
    </xf>
    <xf numFmtId="0" fontId="0" fillId="8" borderId="40" xfId="0" quotePrefix="1" applyFill="1" applyBorder="1" applyAlignment="1" applyProtection="1">
      <alignment horizontal="left" vertical="top" wrapText="1"/>
      <protection locked="0"/>
    </xf>
    <xf numFmtId="0" fontId="0" fillId="8" borderId="31" xfId="0" quotePrefix="1" applyFill="1" applyBorder="1" applyAlignment="1" applyProtection="1">
      <alignment horizontal="left" vertical="top" wrapText="1"/>
      <protection locked="0"/>
    </xf>
    <xf numFmtId="0" fontId="0" fillId="6" borderId="5" xfId="0" applyFill="1" applyBorder="1" applyAlignment="1">
      <alignment horizontal="left" vertical="top" wrapText="1"/>
    </xf>
    <xf numFmtId="0" fontId="0" fillId="6" borderId="28" xfId="0" applyFill="1" applyBorder="1" applyAlignment="1">
      <alignment horizontal="left" vertical="top" wrapText="1"/>
    </xf>
    <xf numFmtId="0" fontId="0" fillId="6" borderId="30" xfId="0" applyFill="1" applyBorder="1" applyAlignment="1">
      <alignment horizontal="left" vertical="top" wrapText="1"/>
    </xf>
    <xf numFmtId="0" fontId="0" fillId="6" borderId="40" xfId="0" applyFill="1" applyBorder="1" applyAlignment="1">
      <alignment horizontal="left" vertical="top" wrapText="1"/>
    </xf>
    <xf numFmtId="0" fontId="0" fillId="6" borderId="31" xfId="0" applyFill="1" applyBorder="1" applyAlignment="1">
      <alignment horizontal="left" vertical="top" wrapText="1"/>
    </xf>
    <xf numFmtId="0" fontId="0" fillId="9" borderId="1" xfId="0" applyFill="1" applyBorder="1" applyAlignment="1" applyProtection="1">
      <alignment horizontal="center"/>
      <protection locked="0"/>
    </xf>
    <xf numFmtId="0" fontId="19" fillId="19" borderId="14" xfId="0" applyFont="1" applyFill="1" applyBorder="1" applyAlignment="1" applyProtection="1">
      <alignment horizontal="left" vertical="top" wrapText="1"/>
      <protection locked="0"/>
    </xf>
    <xf numFmtId="0" fontId="19" fillId="19" borderId="5" xfId="0" applyFont="1" applyFill="1" applyBorder="1" applyAlignment="1" applyProtection="1">
      <alignment horizontal="left" vertical="top" wrapText="1"/>
      <protection locked="0"/>
    </xf>
    <xf numFmtId="0" fontId="19" fillId="19" borderId="28" xfId="0" applyFont="1" applyFill="1" applyBorder="1" applyAlignment="1" applyProtection="1">
      <alignment horizontal="left" vertical="top" wrapText="1"/>
      <protection locked="0"/>
    </xf>
    <xf numFmtId="0" fontId="19" fillId="19" borderId="18" xfId="0" applyFont="1" applyFill="1" applyBorder="1" applyAlignment="1" applyProtection="1">
      <alignment horizontal="left" vertical="top" wrapText="1"/>
      <protection locked="0"/>
    </xf>
    <xf numFmtId="0" fontId="19" fillId="19" borderId="0" xfId="0" applyFont="1" applyFill="1" applyAlignment="1" applyProtection="1">
      <alignment horizontal="left" vertical="top" wrapText="1"/>
      <protection locked="0"/>
    </xf>
    <xf numFmtId="0" fontId="19" fillId="19" borderId="29" xfId="0" applyFont="1" applyFill="1" applyBorder="1" applyAlignment="1" applyProtection="1">
      <alignment horizontal="left" vertical="top" wrapText="1"/>
      <protection locked="0"/>
    </xf>
    <xf numFmtId="0" fontId="19" fillId="19" borderId="30" xfId="0" applyFont="1" applyFill="1" applyBorder="1" applyAlignment="1" applyProtection="1">
      <alignment horizontal="left" vertical="top" wrapText="1"/>
      <protection locked="0"/>
    </xf>
    <xf numFmtId="0" fontId="19" fillId="19" borderId="40" xfId="0" applyFont="1" applyFill="1" applyBorder="1" applyAlignment="1" applyProtection="1">
      <alignment horizontal="left" vertical="top" wrapText="1"/>
      <protection locked="0"/>
    </xf>
    <xf numFmtId="0" fontId="19" fillId="19" borderId="31" xfId="0" applyFont="1" applyFill="1" applyBorder="1" applyAlignment="1" applyProtection="1">
      <alignment horizontal="left" vertical="top" wrapText="1"/>
      <protection locked="0"/>
    </xf>
    <xf numFmtId="0" fontId="0" fillId="7" borderId="0" xfId="0" applyFill="1" applyAlignment="1">
      <alignment horizontal="left" wrapText="1"/>
    </xf>
    <xf numFmtId="0" fontId="70" fillId="9" borderId="2" xfId="8" applyFont="1" applyFill="1" applyBorder="1" applyAlignment="1">
      <alignment horizontal="left"/>
    </xf>
    <xf numFmtId="0" fontId="70" fillId="9" borderId="3" xfId="8" applyFont="1" applyFill="1" applyBorder="1" applyAlignment="1">
      <alignment horizontal="left"/>
    </xf>
    <xf numFmtId="0" fontId="70" fillId="9" borderId="4" xfId="8" applyFont="1" applyFill="1" applyBorder="1" applyAlignment="1">
      <alignment horizontal="left"/>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2" fillId="2" borderId="4" xfId="0" applyFont="1" applyFill="1" applyBorder="1" applyAlignment="1">
      <alignment horizontal="left" wrapText="1"/>
    </xf>
    <xf numFmtId="0" fontId="3" fillId="7" borderId="0" xfId="0" applyFont="1" applyFill="1" applyAlignment="1">
      <alignment horizontal="left" wrapText="1"/>
    </xf>
    <xf numFmtId="0" fontId="19" fillId="19" borderId="1" xfId="0" applyFont="1" applyFill="1" applyBorder="1" applyAlignment="1" applyProtection="1">
      <alignment horizontal="left" vertical="top" wrapText="1"/>
      <protection locked="0"/>
    </xf>
    <xf numFmtId="0" fontId="71" fillId="19" borderId="14" xfId="0" applyFont="1" applyFill="1" applyBorder="1" applyAlignment="1" applyProtection="1">
      <alignment horizontal="left" vertical="top" wrapText="1"/>
      <protection locked="0"/>
    </xf>
    <xf numFmtId="0" fontId="71" fillId="19" borderId="5" xfId="0" applyFont="1" applyFill="1" applyBorder="1" applyAlignment="1" applyProtection="1">
      <alignment horizontal="left" vertical="top" wrapText="1"/>
      <protection locked="0"/>
    </xf>
    <xf numFmtId="0" fontId="71" fillId="19" borderId="28" xfId="0" applyFont="1" applyFill="1" applyBorder="1" applyAlignment="1" applyProtection="1">
      <alignment horizontal="left" vertical="top" wrapText="1"/>
      <protection locked="0"/>
    </xf>
    <xf numFmtId="0" fontId="71" fillId="19" borderId="18" xfId="0" applyFont="1" applyFill="1" applyBorder="1" applyAlignment="1" applyProtection="1">
      <alignment horizontal="left" vertical="top" wrapText="1"/>
      <protection locked="0"/>
    </xf>
    <xf numFmtId="0" fontId="71" fillId="19" borderId="0" xfId="0" applyFont="1" applyFill="1" applyAlignment="1" applyProtection="1">
      <alignment horizontal="left" vertical="top" wrapText="1"/>
      <protection locked="0"/>
    </xf>
    <xf numFmtId="0" fontId="71" fillId="19" borderId="29" xfId="0" applyFont="1" applyFill="1" applyBorder="1" applyAlignment="1" applyProtection="1">
      <alignment horizontal="left" vertical="top" wrapText="1"/>
      <protection locked="0"/>
    </xf>
    <xf numFmtId="0" fontId="71" fillId="19" borderId="30" xfId="0" applyFont="1" applyFill="1" applyBorder="1" applyAlignment="1" applyProtection="1">
      <alignment horizontal="left" vertical="top" wrapText="1"/>
      <protection locked="0"/>
    </xf>
    <xf numFmtId="0" fontId="71" fillId="19" borderId="40" xfId="0" applyFont="1" applyFill="1" applyBorder="1" applyAlignment="1" applyProtection="1">
      <alignment horizontal="left" vertical="top" wrapText="1"/>
      <protection locked="0"/>
    </xf>
    <xf numFmtId="0" fontId="71" fillId="19" borderId="31" xfId="0" applyFont="1" applyFill="1" applyBorder="1" applyAlignment="1" applyProtection="1">
      <alignment horizontal="left" vertical="top" wrapText="1"/>
      <protection locked="0"/>
    </xf>
    <xf numFmtId="0" fontId="72" fillId="2" borderId="5" xfId="0" applyFont="1" applyFill="1" applyBorder="1" applyAlignment="1" applyProtection="1">
      <alignment horizontal="center" vertical="center"/>
      <protection locked="0"/>
    </xf>
    <xf numFmtId="0" fontId="72" fillId="2" borderId="28" xfId="0" applyFont="1" applyFill="1" applyBorder="1" applyAlignment="1" applyProtection="1">
      <alignment horizontal="center" vertical="center"/>
      <protection locked="0"/>
    </xf>
    <xf numFmtId="0" fontId="72" fillId="2" borderId="40" xfId="0" applyFont="1" applyFill="1" applyBorder="1" applyAlignment="1" applyProtection="1">
      <alignment horizontal="center" vertical="center"/>
      <protection locked="0"/>
    </xf>
    <xf numFmtId="0" fontId="72" fillId="2" borderId="31" xfId="0" applyFont="1" applyFill="1" applyBorder="1" applyAlignment="1" applyProtection="1">
      <alignment horizontal="center" vertical="center"/>
      <protection locked="0"/>
    </xf>
    <xf numFmtId="0" fontId="0" fillId="9" borderId="1" xfId="0" applyFill="1" applyBorder="1" applyAlignment="1" applyProtection="1">
      <alignment horizontal="center" vertical="center"/>
      <protection locked="0"/>
    </xf>
    <xf numFmtId="0" fontId="4" fillId="7" borderId="0" xfId="0" applyFont="1" applyFill="1" applyAlignment="1">
      <alignment horizontal="left" vertical="center" wrapText="1"/>
    </xf>
    <xf numFmtId="0" fontId="4" fillId="7" borderId="5" xfId="0" applyFont="1" applyFill="1" applyBorder="1" applyAlignment="1">
      <alignment horizontal="left" vertical="center" wrapText="1"/>
    </xf>
    <xf numFmtId="0" fontId="0" fillId="7" borderId="18" xfId="0" applyFill="1" applyBorder="1" applyAlignment="1">
      <alignment horizontal="left" vertical="top" wrapText="1"/>
    </xf>
    <xf numFmtId="0" fontId="3" fillId="22" borderId="14" xfId="0" applyFont="1" applyFill="1" applyBorder="1" applyAlignment="1">
      <alignment horizontal="left" vertical="top" wrapText="1"/>
    </xf>
    <xf numFmtId="0" fontId="3" fillId="22" borderId="5" xfId="0" applyFont="1" applyFill="1" applyBorder="1" applyAlignment="1">
      <alignment horizontal="left" vertical="top" wrapText="1"/>
    </xf>
    <xf numFmtId="0" fontId="3" fillId="22" borderId="28" xfId="0" applyFont="1" applyFill="1" applyBorder="1" applyAlignment="1">
      <alignment horizontal="left" vertical="top" wrapText="1"/>
    </xf>
    <xf numFmtId="0" fontId="3" fillId="22" borderId="30" xfId="0" applyFont="1" applyFill="1" applyBorder="1" applyAlignment="1">
      <alignment horizontal="left" vertical="top" wrapText="1" indent="1"/>
    </xf>
    <xf numFmtId="0" fontId="3" fillId="22" borderId="40" xfId="0" applyFont="1" applyFill="1" applyBorder="1" applyAlignment="1">
      <alignment horizontal="left" vertical="top" wrapText="1" indent="1"/>
    </xf>
    <xf numFmtId="0" fontId="3" fillId="22" borderId="31" xfId="0" applyFont="1" applyFill="1" applyBorder="1" applyAlignment="1">
      <alignment horizontal="left" vertical="top" wrapText="1" indent="1"/>
    </xf>
    <xf numFmtId="0" fontId="3" fillId="22" borderId="14" xfId="0" applyFont="1" applyFill="1" applyBorder="1" applyAlignment="1">
      <alignment horizontal="left" vertical="top"/>
    </xf>
    <xf numFmtId="0" fontId="3" fillId="22" borderId="5" xfId="0" applyFont="1" applyFill="1" applyBorder="1" applyAlignment="1">
      <alignment horizontal="left" vertical="top"/>
    </xf>
    <xf numFmtId="0" fontId="3" fillId="22" borderId="28" xfId="0" applyFont="1" applyFill="1" applyBorder="1" applyAlignment="1">
      <alignment horizontal="left" vertical="top"/>
    </xf>
    <xf numFmtId="0" fontId="0" fillId="22" borderId="18" xfId="0" applyFill="1" applyBorder="1" applyAlignment="1">
      <alignment horizontal="left" wrapText="1" indent="1"/>
    </xf>
    <xf numFmtId="0" fontId="0" fillId="22" borderId="0" xfId="0" applyFill="1" applyAlignment="1">
      <alignment horizontal="left" wrapText="1" indent="1"/>
    </xf>
    <xf numFmtId="0" fontId="0" fillId="22" borderId="29" xfId="0" applyFill="1" applyBorder="1" applyAlignment="1">
      <alignment horizontal="left" wrapText="1" indent="1"/>
    </xf>
    <xf numFmtId="0" fontId="3" fillId="22" borderId="30" xfId="0" applyFont="1" applyFill="1" applyBorder="1" applyAlignment="1">
      <alignment horizontal="left" wrapText="1" indent="1"/>
    </xf>
    <xf numFmtId="0" fontId="3" fillId="22" borderId="40" xfId="0" applyFont="1" applyFill="1" applyBorder="1" applyAlignment="1">
      <alignment horizontal="left" wrapText="1" indent="1"/>
    </xf>
    <xf numFmtId="0" fontId="3" fillId="22" borderId="31" xfId="0" applyFont="1" applyFill="1" applyBorder="1" applyAlignment="1">
      <alignment horizontal="left" wrapText="1" indent="1"/>
    </xf>
    <xf numFmtId="0" fontId="0" fillId="22" borderId="18" xfId="0" applyFill="1" applyBorder="1" applyAlignment="1">
      <alignment horizontal="left" vertical="top" wrapText="1" indent="1"/>
    </xf>
    <xf numFmtId="0" fontId="0" fillId="22" borderId="0" xfId="0" applyFill="1" applyAlignment="1">
      <alignment horizontal="left" vertical="top" wrapText="1" indent="1"/>
    </xf>
    <xf numFmtId="0" fontId="0" fillId="22" borderId="29" xfId="0" applyFill="1" applyBorder="1" applyAlignment="1">
      <alignment horizontal="left" vertical="top" wrapText="1" indent="1"/>
    </xf>
    <xf numFmtId="0" fontId="3" fillId="22" borderId="18" xfId="0" applyFont="1" applyFill="1" applyBorder="1" applyAlignment="1">
      <alignment horizontal="left" wrapText="1" indent="1"/>
    </xf>
    <xf numFmtId="0" fontId="3" fillId="22" borderId="0" xfId="0" applyFont="1" applyFill="1" applyAlignment="1">
      <alignment horizontal="left" indent="1"/>
    </xf>
    <xf numFmtId="0" fontId="3" fillId="22" borderId="29" xfId="0" applyFont="1" applyFill="1" applyBorder="1" applyAlignment="1">
      <alignment horizontal="left" indent="1"/>
    </xf>
    <xf numFmtId="0" fontId="3" fillId="22" borderId="40" xfId="0" applyFont="1" applyFill="1" applyBorder="1" applyAlignment="1">
      <alignment horizontal="left" vertical="top" indent="1"/>
    </xf>
    <xf numFmtId="0" fontId="3" fillId="22" borderId="31" xfId="0" applyFont="1" applyFill="1" applyBorder="1" applyAlignment="1">
      <alignment horizontal="left" vertical="top" indent="1"/>
    </xf>
    <xf numFmtId="0" fontId="3" fillId="22" borderId="40" xfId="0" applyFont="1" applyFill="1" applyBorder="1" applyAlignment="1">
      <alignment horizontal="left" indent="1"/>
    </xf>
    <xf numFmtId="0" fontId="3" fillId="22" borderId="31" xfId="0" applyFont="1" applyFill="1" applyBorder="1" applyAlignment="1">
      <alignment horizontal="left" indent="1"/>
    </xf>
    <xf numFmtId="0" fontId="0" fillId="10" borderId="2" xfId="1" applyNumberFormat="1" applyFont="1" applyFill="1" applyBorder="1" applyAlignment="1" applyProtection="1">
      <alignment horizontal="left"/>
      <protection locked="0"/>
    </xf>
    <xf numFmtId="0" fontId="0" fillId="10" borderId="4" xfId="1" applyNumberFormat="1" applyFont="1" applyFill="1" applyBorder="1" applyAlignment="1" applyProtection="1">
      <alignment horizontal="left"/>
      <protection locked="0"/>
    </xf>
    <xf numFmtId="0" fontId="3" fillId="22" borderId="30" xfId="0" applyFont="1" applyFill="1" applyBorder="1" applyAlignment="1">
      <alignment horizontal="left" indent="1"/>
    </xf>
    <xf numFmtId="0" fontId="2" fillId="2" borderId="2" xfId="0" applyFont="1" applyFill="1" applyBorder="1" applyAlignment="1" applyProtection="1">
      <alignment horizontal="left"/>
      <protection locked="0"/>
    </xf>
    <xf numFmtId="0" fontId="2"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3" fillId="7" borderId="0" xfId="0" applyFont="1" applyFill="1" applyAlignment="1" applyProtection="1">
      <alignment horizontal="left" wrapText="1"/>
      <protection locked="0"/>
    </xf>
    <xf numFmtId="0" fontId="3" fillId="22" borderId="14" xfId="0" applyFont="1" applyFill="1" applyBorder="1" applyAlignment="1" applyProtection="1">
      <alignment horizontal="left" vertical="top" wrapText="1"/>
      <protection locked="0"/>
    </xf>
    <xf numFmtId="0" fontId="3" fillId="22" borderId="5" xfId="0" applyFont="1" applyFill="1" applyBorder="1" applyAlignment="1" applyProtection="1">
      <alignment horizontal="left" vertical="top" wrapText="1"/>
      <protection locked="0"/>
    </xf>
    <xf numFmtId="0" fontId="0" fillId="22" borderId="30" xfId="0" applyFill="1" applyBorder="1" applyAlignment="1" applyProtection="1">
      <alignment horizontal="left" vertical="top" indent="1"/>
      <protection locked="0"/>
    </xf>
    <xf numFmtId="0" fontId="0" fillId="22" borderId="40" xfId="0" applyFill="1" applyBorder="1" applyAlignment="1" applyProtection="1">
      <alignment horizontal="left" vertical="top" indent="1"/>
      <protection locked="0"/>
    </xf>
    <xf numFmtId="0" fontId="0" fillId="22" borderId="31" xfId="0" applyFill="1" applyBorder="1" applyAlignment="1" applyProtection="1">
      <alignment horizontal="left" vertical="top" indent="1"/>
      <protection locked="0"/>
    </xf>
    <xf numFmtId="0" fontId="0" fillId="22" borderId="0" xfId="0" applyFill="1" applyAlignment="1">
      <alignment horizontal="left" vertical="top" wrapText="1"/>
    </xf>
    <xf numFmtId="0" fontId="0" fillId="19" borderId="2" xfId="0" applyFill="1" applyBorder="1" applyAlignment="1" applyProtection="1">
      <alignment horizontal="left"/>
      <protection locked="0"/>
    </xf>
    <xf numFmtId="0" fontId="0" fillId="19" borderId="4" xfId="0" applyFill="1" applyBorder="1" applyAlignment="1" applyProtection="1">
      <alignment horizontal="left"/>
      <protection locked="0"/>
    </xf>
    <xf numFmtId="0" fontId="0" fillId="6" borderId="0" xfId="0" applyFill="1" applyAlignment="1">
      <alignment horizontal="left" wrapText="1"/>
    </xf>
    <xf numFmtId="0" fontId="0" fillId="6" borderId="29" xfId="0" applyFill="1" applyBorder="1" applyAlignment="1">
      <alignment horizontal="left" wrapText="1"/>
    </xf>
    <xf numFmtId="0" fontId="0" fillId="16" borderId="6" xfId="0" applyFill="1" applyBorder="1" applyAlignment="1">
      <alignment horizontal="center" vertical="top" wrapText="1"/>
    </xf>
    <xf numFmtId="0" fontId="0" fillId="16" borderId="7" xfId="0" applyFill="1" applyBorder="1" applyAlignment="1">
      <alignment horizontal="center" vertical="top" wrapText="1"/>
    </xf>
    <xf numFmtId="0" fontId="0" fillId="16" borderId="8" xfId="0" applyFill="1" applyBorder="1" applyAlignment="1">
      <alignment horizontal="center" vertical="top" wrapText="1"/>
    </xf>
    <xf numFmtId="0" fontId="0" fillId="16" borderId="9" xfId="0" applyFill="1" applyBorder="1" applyAlignment="1">
      <alignment horizontal="center" vertical="top" wrapText="1"/>
    </xf>
    <xf numFmtId="0" fontId="0" fillId="16" borderId="0" xfId="0" applyFill="1" applyAlignment="1">
      <alignment horizontal="center" vertical="top" wrapText="1"/>
    </xf>
    <xf numFmtId="0" fontId="0" fillId="16" borderId="10" xfId="0" applyFill="1" applyBorder="1" applyAlignment="1">
      <alignment horizontal="center" vertical="top" wrapText="1"/>
    </xf>
    <xf numFmtId="0" fontId="0" fillId="16" borderId="11" xfId="0" applyFill="1" applyBorder="1" applyAlignment="1">
      <alignment horizontal="center" vertical="top" wrapText="1"/>
    </xf>
    <xf numFmtId="0" fontId="0" fillId="16" borderId="12" xfId="0" applyFill="1" applyBorder="1" applyAlignment="1">
      <alignment horizontal="center" vertical="top" wrapText="1"/>
    </xf>
    <xf numFmtId="0" fontId="0" fillId="16" borderId="13" xfId="0" applyFill="1" applyBorder="1" applyAlignment="1">
      <alignment horizontal="center" vertical="top" wrapText="1"/>
    </xf>
    <xf numFmtId="0" fontId="0" fillId="0" borderId="0" xfId="0" applyAlignment="1">
      <alignment horizontal="left" vertical="top" wrapText="1"/>
    </xf>
    <xf numFmtId="0" fontId="0" fillId="9" borderId="20" xfId="0" applyFill="1" applyBorder="1" applyAlignment="1">
      <alignment horizontal="center"/>
    </xf>
    <xf numFmtId="0" fontId="0" fillId="9" borderId="21" xfId="0" applyFill="1" applyBorder="1" applyAlignment="1">
      <alignment horizontal="center"/>
    </xf>
    <xf numFmtId="0" fontId="0" fillId="9" borderId="22" xfId="0" applyFill="1" applyBorder="1" applyAlignment="1">
      <alignment horizontal="center"/>
    </xf>
    <xf numFmtId="0" fontId="0" fillId="16" borderId="6" xfId="0" applyFill="1" applyBorder="1" applyAlignment="1">
      <alignment horizontal="left" vertical="top" wrapText="1"/>
    </xf>
    <xf numFmtId="0" fontId="0" fillId="16" borderId="7" xfId="0" applyFill="1" applyBorder="1" applyAlignment="1">
      <alignment horizontal="left" vertical="top" wrapText="1"/>
    </xf>
    <xf numFmtId="0" fontId="0" fillId="16" borderId="8" xfId="0" applyFill="1" applyBorder="1" applyAlignment="1">
      <alignment horizontal="left" vertical="top" wrapText="1"/>
    </xf>
    <xf numFmtId="0" fontId="0" fillId="16" borderId="9" xfId="0" applyFill="1" applyBorder="1" applyAlignment="1">
      <alignment horizontal="left" vertical="top" wrapText="1"/>
    </xf>
    <xf numFmtId="0" fontId="0" fillId="16" borderId="0" xfId="0" applyFill="1" applyAlignment="1">
      <alignment horizontal="left" vertical="top" wrapText="1"/>
    </xf>
    <xf numFmtId="0" fontId="0" fillId="16" borderId="10" xfId="0" applyFill="1" applyBorder="1" applyAlignment="1">
      <alignment horizontal="left" vertical="top" wrapText="1"/>
    </xf>
    <xf numFmtId="0" fontId="0" fillId="16" borderId="11" xfId="0" applyFill="1" applyBorder="1" applyAlignment="1">
      <alignment horizontal="left" vertical="top" wrapText="1"/>
    </xf>
    <xf numFmtId="0" fontId="0" fillId="16" borderId="12" xfId="0" applyFill="1" applyBorder="1" applyAlignment="1">
      <alignment horizontal="left" vertical="top" wrapText="1"/>
    </xf>
    <xf numFmtId="0" fontId="0" fillId="16" borderId="13" xfId="0" applyFill="1" applyBorder="1" applyAlignment="1">
      <alignment horizontal="left" vertical="top" wrapText="1"/>
    </xf>
    <xf numFmtId="0" fontId="0" fillId="0" borderId="0" xfId="0" applyAlignment="1">
      <alignment horizontal="center"/>
    </xf>
    <xf numFmtId="0" fontId="0" fillId="9" borderId="6" xfId="0" applyFill="1" applyBorder="1" applyAlignment="1">
      <alignment horizontal="center"/>
    </xf>
    <xf numFmtId="0" fontId="0" fillId="9" borderId="7" xfId="0" applyFill="1" applyBorder="1" applyAlignment="1">
      <alignment horizontal="center"/>
    </xf>
    <xf numFmtId="0" fontId="0" fillId="9" borderId="8" xfId="0" applyFill="1" applyBorder="1" applyAlignment="1">
      <alignment horizontal="center"/>
    </xf>
    <xf numFmtId="0" fontId="2" fillId="9" borderId="1" xfId="0" applyFont="1" applyFill="1" applyBorder="1" applyAlignment="1">
      <alignment horizontal="left"/>
    </xf>
    <xf numFmtId="0" fontId="2" fillId="25" borderId="18" xfId="0" applyFont="1" applyFill="1" applyBorder="1" applyAlignment="1">
      <alignment horizontal="left" wrapText="1"/>
    </xf>
    <xf numFmtId="0" fontId="2" fillId="25" borderId="0" xfId="0" applyFont="1" applyFill="1" applyAlignment="1">
      <alignment horizontal="left" wrapText="1"/>
    </xf>
    <xf numFmtId="0" fontId="0" fillId="20" borderId="0" xfId="0" applyFill="1" applyAlignment="1">
      <alignment horizontal="left" vertical="top" wrapText="1"/>
    </xf>
    <xf numFmtId="0" fontId="5" fillId="8" borderId="1" xfId="0" applyFont="1" applyFill="1" applyBorder="1" applyAlignment="1">
      <alignment horizontal="left" wrapText="1"/>
    </xf>
    <xf numFmtId="0" fontId="31" fillId="7" borderId="5" xfId="0" applyFont="1" applyFill="1" applyBorder="1" applyAlignment="1">
      <alignment horizontal="center"/>
    </xf>
    <xf numFmtId="0" fontId="0" fillId="6" borderId="40" xfId="0" applyFill="1" applyBorder="1" applyAlignment="1">
      <alignment horizontal="left" wrapText="1"/>
    </xf>
    <xf numFmtId="0" fontId="0" fillId="6" borderId="31" xfId="0" applyFill="1" applyBorder="1" applyAlignment="1">
      <alignment horizontal="left" wrapText="1"/>
    </xf>
    <xf numFmtId="0" fontId="5" fillId="6" borderId="75" xfId="0" applyFont="1" applyFill="1" applyBorder="1" applyAlignment="1">
      <alignment horizontal="left" vertical="top"/>
    </xf>
    <xf numFmtId="0" fontId="5" fillId="6" borderId="75" xfId="0" applyFont="1" applyFill="1" applyBorder="1" applyAlignment="1">
      <alignment horizontal="left" vertical="top" wrapText="1"/>
    </xf>
    <xf numFmtId="0" fontId="5" fillId="6" borderId="77" xfId="0" applyFont="1" applyFill="1" applyBorder="1" applyAlignment="1">
      <alignment horizontal="left" vertical="top"/>
    </xf>
    <xf numFmtId="0" fontId="5" fillId="6" borderId="78" xfId="0" applyFont="1" applyFill="1" applyBorder="1" applyAlignment="1">
      <alignment horizontal="left" vertical="top"/>
    </xf>
    <xf numFmtId="0" fontId="5" fillId="6" borderId="79" xfId="0" applyFont="1" applyFill="1" applyBorder="1" applyAlignment="1">
      <alignment horizontal="left" vertical="top"/>
    </xf>
    <xf numFmtId="0" fontId="0" fillId="24" borderId="1" xfId="0" applyFill="1" applyBorder="1" applyAlignment="1">
      <alignment horizontal="left"/>
    </xf>
    <xf numFmtId="0" fontId="28" fillId="0" borderId="78" xfId="0" applyFont="1" applyBorder="1" applyAlignment="1">
      <alignment horizontal="left"/>
    </xf>
    <xf numFmtId="0" fontId="76" fillId="7" borderId="78" xfId="0" applyFont="1" applyFill="1" applyBorder="1" applyAlignment="1">
      <alignment horizontal="left"/>
    </xf>
    <xf numFmtId="44" fontId="19" fillId="32" borderId="2" xfId="1" applyFont="1" applyFill="1" applyBorder="1" applyAlignment="1" applyProtection="1">
      <alignment horizontal="left"/>
      <protection locked="0"/>
    </xf>
    <xf numFmtId="44" fontId="19" fillId="32" borderId="4" xfId="1" applyFont="1" applyFill="1" applyBorder="1" applyAlignment="1" applyProtection="1">
      <alignment horizontal="left"/>
      <protection locked="0"/>
    </xf>
    <xf numFmtId="0" fontId="2" fillId="25" borderId="30" xfId="0" applyFont="1" applyFill="1" applyBorder="1" applyAlignment="1">
      <alignment horizontal="left" wrapText="1"/>
    </xf>
    <xf numFmtId="0" fontId="2" fillId="25" borderId="74" xfId="0" applyFont="1" applyFill="1" applyBorder="1" applyAlignment="1">
      <alignment horizontal="left" wrapText="1"/>
    </xf>
    <xf numFmtId="0" fontId="0" fillId="36" borderId="0" xfId="0" applyFill="1" applyAlignment="1">
      <alignment horizontal="left" wrapText="1"/>
    </xf>
    <xf numFmtId="0" fontId="0" fillId="36" borderId="29" xfId="0" applyFill="1" applyBorder="1" applyAlignment="1">
      <alignment horizontal="left" wrapText="1"/>
    </xf>
    <xf numFmtId="0" fontId="0" fillId="36" borderId="40" xfId="0" applyFill="1" applyBorder="1" applyAlignment="1">
      <alignment horizontal="left" vertical="top" wrapText="1"/>
    </xf>
    <xf numFmtId="0" fontId="0" fillId="36" borderId="31" xfId="0" applyFill="1" applyBorder="1" applyAlignment="1">
      <alignment horizontal="left" vertical="top" wrapText="1"/>
    </xf>
    <xf numFmtId="0" fontId="0" fillId="6" borderId="0" xfId="0" applyFill="1" applyAlignment="1">
      <alignment wrapText="1"/>
    </xf>
    <xf numFmtId="0" fontId="0" fillId="6" borderId="29" xfId="0" applyFill="1" applyBorder="1" applyAlignment="1">
      <alignment wrapText="1"/>
    </xf>
    <xf numFmtId="0" fontId="0" fillId="6" borderId="0" xfId="0" applyFill="1" applyAlignment="1">
      <alignment horizontal="left" vertical="top" wrapText="1"/>
    </xf>
    <xf numFmtId="0" fontId="0" fillId="6" borderId="29" xfId="0" applyFill="1" applyBorder="1" applyAlignment="1">
      <alignment horizontal="left" vertical="top" wrapText="1"/>
    </xf>
    <xf numFmtId="44" fontId="19" fillId="32" borderId="2" xfId="1" applyFont="1" applyFill="1" applyBorder="1" applyAlignment="1" applyProtection="1">
      <alignment horizontal="left" wrapText="1"/>
      <protection locked="0"/>
    </xf>
    <xf numFmtId="0" fontId="0" fillId="16" borderId="20" xfId="0" applyFill="1" applyBorder="1" applyAlignment="1">
      <alignment horizontal="left" vertical="top" wrapText="1"/>
    </xf>
    <xf numFmtId="0" fontId="0" fillId="16" borderId="21" xfId="0" applyFill="1" applyBorder="1" applyAlignment="1">
      <alignment horizontal="left" vertical="top" wrapText="1"/>
    </xf>
    <xf numFmtId="0" fontId="0" fillId="16" borderId="22" xfId="0" applyFill="1" applyBorder="1" applyAlignment="1">
      <alignment horizontal="left" vertical="top" wrapText="1"/>
    </xf>
    <xf numFmtId="0" fontId="0" fillId="0" borderId="18" xfId="0" applyBorder="1" applyAlignment="1">
      <alignment horizontal="left" wrapText="1" indent="2"/>
    </xf>
    <xf numFmtId="0" fontId="0" fillId="0" borderId="0" xfId="0" applyAlignment="1">
      <alignment horizontal="left" wrapText="1" indent="2"/>
    </xf>
    <xf numFmtId="0" fontId="0" fillId="0" borderId="72" xfId="0" applyBorder="1" applyAlignment="1">
      <alignment horizontal="right" vertical="top" wrapText="1"/>
    </xf>
    <xf numFmtId="0" fontId="0" fillId="0" borderId="0" xfId="0" applyAlignment="1">
      <alignment horizontal="right" vertical="top" wrapText="1"/>
    </xf>
    <xf numFmtId="0" fontId="5" fillId="21" borderId="1" xfId="0" applyFont="1" applyFill="1" applyBorder="1" applyAlignment="1" applyProtection="1">
      <alignment vertical="center" wrapText="1"/>
      <protection locked="0"/>
    </xf>
    <xf numFmtId="0" fontId="0" fillId="7" borderId="29" xfId="0" applyFill="1" applyBorder="1" applyAlignment="1">
      <alignment horizontal="right" vertical="top" wrapText="1"/>
    </xf>
    <xf numFmtId="0" fontId="0" fillId="7" borderId="0" xfId="0" applyFill="1" applyAlignment="1">
      <alignment horizontal="right" vertical="top" wrapText="1"/>
    </xf>
    <xf numFmtId="0" fontId="25" fillId="16" borderId="80" xfId="0" applyFont="1" applyFill="1" applyBorder="1" applyAlignment="1">
      <alignment horizontal="left" vertical="top" wrapText="1"/>
    </xf>
    <xf numFmtId="0" fontId="25" fillId="16" borderId="81" xfId="0" applyFont="1" applyFill="1" applyBorder="1" applyAlignment="1">
      <alignment horizontal="left" vertical="top" wrapText="1"/>
    </xf>
    <xf numFmtId="0" fontId="25" fillId="16" borderId="82" xfId="0" applyFont="1" applyFill="1" applyBorder="1" applyAlignment="1">
      <alignment horizontal="left" vertical="top" wrapText="1"/>
    </xf>
    <xf numFmtId="0" fontId="25" fillId="16" borderId="23" xfId="0" applyFont="1" applyFill="1" applyBorder="1" applyAlignment="1">
      <alignment horizontal="left" vertical="top" wrapText="1"/>
    </xf>
    <xf numFmtId="0" fontId="25" fillId="16" borderId="1" xfId="0" applyFont="1" applyFill="1" applyBorder="1" applyAlignment="1">
      <alignment horizontal="left" vertical="top" wrapText="1"/>
    </xf>
    <xf numFmtId="0" fontId="25" fillId="16" borderId="24" xfId="0" applyFont="1" applyFill="1" applyBorder="1" applyAlignment="1">
      <alignment horizontal="left" vertical="top" wrapText="1"/>
    </xf>
    <xf numFmtId="0" fontId="25" fillId="16" borderId="25" xfId="0" applyFont="1" applyFill="1" applyBorder="1" applyAlignment="1">
      <alignment horizontal="left" vertical="top" wrapText="1"/>
    </xf>
    <xf numFmtId="0" fontId="25" fillId="16" borderId="26" xfId="0" applyFont="1" applyFill="1" applyBorder="1" applyAlignment="1">
      <alignment horizontal="left" vertical="top" wrapText="1"/>
    </xf>
    <xf numFmtId="0" fontId="25" fillId="16" borderId="27" xfId="0" applyFont="1" applyFill="1" applyBorder="1" applyAlignment="1">
      <alignment horizontal="left" vertical="top" wrapText="1"/>
    </xf>
    <xf numFmtId="0" fontId="25" fillId="16" borderId="6" xfId="0" applyFont="1" applyFill="1" applyBorder="1" applyAlignment="1">
      <alignment horizontal="left" vertical="top" wrapText="1"/>
    </xf>
    <xf numFmtId="0" fontId="25" fillId="16" borderId="7" xfId="0" applyFont="1" applyFill="1" applyBorder="1" applyAlignment="1">
      <alignment horizontal="left" vertical="top" wrapText="1"/>
    </xf>
    <xf numFmtId="0" fontId="25" fillId="16" borderId="8" xfId="0" applyFont="1" applyFill="1" applyBorder="1" applyAlignment="1">
      <alignment horizontal="left" vertical="top" wrapText="1"/>
    </xf>
    <xf numFmtId="0" fontId="25" fillId="16" borderId="9" xfId="0" applyFont="1" applyFill="1" applyBorder="1" applyAlignment="1">
      <alignment horizontal="left" vertical="top" wrapText="1"/>
    </xf>
    <xf numFmtId="0" fontId="25" fillId="16" borderId="0" xfId="0" applyFont="1" applyFill="1" applyAlignment="1">
      <alignment horizontal="left" vertical="top" wrapText="1"/>
    </xf>
    <xf numFmtId="0" fontId="25" fillId="16" borderId="10" xfId="0" applyFont="1" applyFill="1" applyBorder="1" applyAlignment="1">
      <alignment horizontal="left" vertical="top" wrapText="1"/>
    </xf>
    <xf numFmtId="0" fontId="25" fillId="16" borderId="11" xfId="0" applyFont="1" applyFill="1" applyBorder="1" applyAlignment="1">
      <alignment horizontal="left" vertical="top" wrapText="1"/>
    </xf>
    <xf numFmtId="0" fontId="25" fillId="16" borderId="12" xfId="0" applyFont="1" applyFill="1" applyBorder="1" applyAlignment="1">
      <alignment horizontal="left" vertical="top" wrapText="1"/>
    </xf>
    <xf numFmtId="0" fontId="25" fillId="16" borderId="13" xfId="0" applyFont="1" applyFill="1" applyBorder="1" applyAlignment="1">
      <alignment horizontal="left" vertical="top" wrapText="1"/>
    </xf>
    <xf numFmtId="0" fontId="0" fillId="19" borderId="1" xfId="0" applyFill="1" applyBorder="1" applyAlignment="1" applyProtection="1">
      <alignment horizontal="left"/>
      <protection locked="0"/>
    </xf>
    <xf numFmtId="0" fontId="0" fillId="6" borderId="72" xfId="0" applyFill="1" applyBorder="1" applyAlignment="1">
      <alignment horizontal="left" wrapText="1"/>
    </xf>
    <xf numFmtId="0" fontId="0" fillId="6" borderId="103" xfId="0" applyFill="1" applyBorder="1" applyAlignment="1">
      <alignment horizontal="left" wrapText="1"/>
    </xf>
    <xf numFmtId="0" fontId="5" fillId="6" borderId="104" xfId="0" applyFont="1" applyFill="1" applyBorder="1" applyAlignment="1">
      <alignment vertical="top" wrapText="1"/>
    </xf>
    <xf numFmtId="0" fontId="5" fillId="6" borderId="76" xfId="0" applyFont="1" applyFill="1" applyBorder="1" applyAlignment="1">
      <alignment vertical="top" wrapText="1"/>
    </xf>
    <xf numFmtId="0" fontId="0" fillId="7" borderId="40" xfId="0" applyFill="1" applyBorder="1" applyAlignment="1">
      <alignment horizontal="left"/>
    </xf>
    <xf numFmtId="0" fontId="3" fillId="5" borderId="1" xfId="0" applyFont="1" applyFill="1" applyBorder="1" applyAlignment="1">
      <alignment horizontal="left"/>
    </xf>
    <xf numFmtId="0" fontId="0" fillId="6" borderId="40" xfId="0" applyFill="1" applyBorder="1" applyAlignment="1">
      <alignment horizontal="left" vertical="top"/>
    </xf>
    <xf numFmtId="0" fontId="0" fillId="6" borderId="31" xfId="0" applyFill="1" applyBorder="1" applyAlignment="1">
      <alignment horizontal="left" vertical="top"/>
    </xf>
    <xf numFmtId="0" fontId="76" fillId="7" borderId="0" xfId="0" applyFont="1" applyFill="1" applyAlignment="1">
      <alignment horizontal="left"/>
    </xf>
    <xf numFmtId="0" fontId="5" fillId="6" borderId="77" xfId="0" applyFont="1" applyFill="1" applyBorder="1" applyAlignment="1">
      <alignment horizontal="left" vertical="top" wrapText="1"/>
    </xf>
    <xf numFmtId="0" fontId="5" fillId="6" borderId="78" xfId="0" applyFont="1" applyFill="1" applyBorder="1" applyAlignment="1">
      <alignment horizontal="left" vertical="top" wrapText="1"/>
    </xf>
    <xf numFmtId="0" fontId="5" fillId="6" borderId="79" xfId="0" applyFont="1" applyFill="1" applyBorder="1" applyAlignment="1">
      <alignment horizontal="left" vertical="top" wrapText="1"/>
    </xf>
    <xf numFmtId="0" fontId="3" fillId="17" borderId="20" xfId="0" applyFont="1" applyFill="1" applyBorder="1" applyAlignment="1">
      <alignment horizontal="center"/>
    </xf>
    <xf numFmtId="0" fontId="3" fillId="17" borderId="21" xfId="0" applyFont="1" applyFill="1" applyBorder="1" applyAlignment="1">
      <alignment horizontal="center"/>
    </xf>
    <xf numFmtId="0" fontId="3" fillId="17" borderId="22" xfId="0" applyFont="1" applyFill="1" applyBorder="1" applyAlignment="1">
      <alignment horizontal="center"/>
    </xf>
    <xf numFmtId="0" fontId="2" fillId="18" borderId="20" xfId="0" applyFont="1" applyFill="1" applyBorder="1" applyAlignment="1">
      <alignment horizontal="center"/>
    </xf>
    <xf numFmtId="0" fontId="2" fillId="18" borderId="21" xfId="0" applyFont="1" applyFill="1" applyBorder="1" applyAlignment="1">
      <alignment horizontal="center"/>
    </xf>
    <xf numFmtId="0" fontId="2" fillId="18" borderId="22" xfId="0" applyFont="1" applyFill="1" applyBorder="1" applyAlignment="1">
      <alignment horizontal="center"/>
    </xf>
    <xf numFmtId="0" fontId="3" fillId="9" borderId="20" xfId="0" applyFont="1" applyFill="1" applyBorder="1" applyAlignment="1">
      <alignment horizontal="center"/>
    </xf>
    <xf numFmtId="0" fontId="3" fillId="9" borderId="21" xfId="0" applyFont="1" applyFill="1" applyBorder="1" applyAlignment="1">
      <alignment horizontal="center"/>
    </xf>
    <xf numFmtId="0" fontId="3" fillId="9" borderId="22" xfId="0" applyFont="1" applyFill="1" applyBorder="1" applyAlignment="1">
      <alignment horizontal="center"/>
    </xf>
    <xf numFmtId="0" fontId="3" fillId="11" borderId="20" xfId="0" applyFont="1" applyFill="1" applyBorder="1" applyAlignment="1">
      <alignment horizontal="center"/>
    </xf>
    <xf numFmtId="0" fontId="3" fillId="11" borderId="21" xfId="0" applyFont="1" applyFill="1" applyBorder="1" applyAlignment="1">
      <alignment horizontal="center"/>
    </xf>
    <xf numFmtId="0" fontId="3" fillId="11" borderId="22" xfId="0" applyFont="1" applyFill="1" applyBorder="1" applyAlignment="1">
      <alignment horizontal="center"/>
    </xf>
    <xf numFmtId="0" fontId="46" fillId="0" borderId="6" xfId="11" applyFont="1" applyBorder="1" applyAlignment="1">
      <alignment horizontal="center" vertical="center"/>
    </xf>
    <xf numFmtId="0" fontId="46" fillId="0" borderId="7" xfId="11" applyFont="1" applyBorder="1" applyAlignment="1">
      <alignment horizontal="center" vertical="center"/>
    </xf>
    <xf numFmtId="0" fontId="46" fillId="0" borderId="8" xfId="11" applyFont="1" applyBorder="1" applyAlignment="1">
      <alignment horizontal="center" vertical="center"/>
    </xf>
    <xf numFmtId="0" fontId="46" fillId="0" borderId="11" xfId="11" applyFont="1" applyBorder="1" applyAlignment="1">
      <alignment horizontal="center" vertical="center"/>
    </xf>
    <xf numFmtId="0" fontId="46" fillId="0" borderId="12" xfId="11" applyFont="1" applyBorder="1" applyAlignment="1">
      <alignment horizontal="center" vertical="center"/>
    </xf>
    <xf numFmtId="0" fontId="46" fillId="0" borderId="13" xfId="11" applyFont="1" applyBorder="1" applyAlignment="1">
      <alignment horizontal="center" vertical="center"/>
    </xf>
    <xf numFmtId="0" fontId="89" fillId="0" borderId="83" xfId="11" applyFont="1" applyBorder="1" applyAlignment="1">
      <alignment horizontal="center" vertical="center" wrapText="1"/>
    </xf>
    <xf numFmtId="0" fontId="89" fillId="0" borderId="84" xfId="11" applyFont="1" applyBorder="1" applyAlignment="1">
      <alignment horizontal="center" vertical="center" wrapText="1"/>
    </xf>
    <xf numFmtId="0" fontId="89" fillId="0" borderId="90" xfId="11" applyFont="1" applyBorder="1" applyAlignment="1">
      <alignment horizontal="center" vertical="center" wrapText="1"/>
    </xf>
    <xf numFmtId="0" fontId="89" fillId="7" borderId="20" xfId="11" applyFont="1" applyFill="1" applyBorder="1" applyAlignment="1">
      <alignment horizontal="center"/>
    </xf>
    <xf numFmtId="0" fontId="89" fillId="7" borderId="21" xfId="11" applyFont="1" applyFill="1" applyBorder="1" applyAlignment="1">
      <alignment horizontal="center"/>
    </xf>
    <xf numFmtId="0" fontId="89" fillId="7" borderId="88" xfId="11" applyFont="1" applyFill="1" applyBorder="1" applyAlignment="1">
      <alignment horizontal="right"/>
    </xf>
    <xf numFmtId="0" fontId="89" fillId="7" borderId="89" xfId="11" applyFont="1" applyFill="1" applyBorder="1" applyAlignment="1">
      <alignment horizontal="right"/>
    </xf>
    <xf numFmtId="0" fontId="89" fillId="34" borderId="9" xfId="11" applyFont="1" applyFill="1" applyBorder="1" applyAlignment="1">
      <alignment horizontal="right"/>
    </xf>
    <xf numFmtId="0" fontId="44" fillId="0" borderId="0" xfId="11" applyFont="1"/>
    <xf numFmtId="0" fontId="89" fillId="34" borderId="85" xfId="11" applyFont="1" applyFill="1" applyBorder="1" applyAlignment="1">
      <alignment horizontal="right"/>
    </xf>
    <xf numFmtId="0" fontId="89" fillId="34" borderId="86" xfId="11" applyFont="1" applyFill="1" applyBorder="1" applyAlignment="1">
      <alignment horizontal="right"/>
    </xf>
    <xf numFmtId="0" fontId="44" fillId="0" borderId="87" xfId="11" applyFont="1" applyBorder="1"/>
    <xf numFmtId="0" fontId="91" fillId="34" borderId="85" xfId="11" applyFont="1" applyFill="1" applyBorder="1" applyAlignment="1">
      <alignment horizontal="right"/>
    </xf>
    <xf numFmtId="0" fontId="91" fillId="34" borderId="0" xfId="11" applyFont="1" applyFill="1" applyAlignment="1">
      <alignment horizontal="right"/>
    </xf>
  </cellXfs>
  <cellStyles count="17">
    <cellStyle name="Comma" xfId="4" builtinId="3"/>
    <cellStyle name="Comma 2" xfId="9" xr:uid="{00000000-0005-0000-0000-000001000000}"/>
    <cellStyle name="Currency" xfId="1" builtinId="4"/>
    <cellStyle name="Currency [0]" xfId="6" builtinId="7"/>
    <cellStyle name="Currency 2" xfId="10" xr:uid="{00000000-0005-0000-0000-000004000000}"/>
    <cellStyle name="Hyperlink" xfId="3" builtinId="8"/>
    <cellStyle name="Normal" xfId="0" builtinId="0"/>
    <cellStyle name="Normal 15" xfId="8" xr:uid="{00000000-0005-0000-0000-000007000000}"/>
    <cellStyle name="Normal 2" xfId="11" xr:uid="{00000000-0005-0000-0000-000008000000}"/>
    <cellStyle name="Normal 3" xfId="12" xr:uid="{00000000-0005-0000-0000-000009000000}"/>
    <cellStyle name="Normal 3 2" xfId="5" xr:uid="{00000000-0005-0000-0000-00000A000000}"/>
    <cellStyle name="Normal_Initial Financial Evaluation 2011" xfId="7" xr:uid="{00000000-0005-0000-0000-00000B000000}"/>
    <cellStyle name="Normal_MLP Am Worksheet" xfId="13" xr:uid="{00000000-0005-0000-0000-00000C000000}"/>
    <cellStyle name="Normal_Sheet2" xfId="14" xr:uid="{00000000-0005-0000-0000-00000D000000}"/>
    <cellStyle name="Percent" xfId="2" builtinId="5"/>
    <cellStyle name="Percent 2" xfId="15" xr:uid="{00000000-0005-0000-0000-00000F000000}"/>
    <cellStyle name="Percent 3" xfId="16" xr:uid="{00000000-0005-0000-0000-000010000000}"/>
  </cellStyles>
  <dxfs count="168">
    <dxf>
      <font>
        <b/>
        <i val="0"/>
        <strike val="0"/>
        <color rgb="FFFF0000"/>
      </font>
      <numFmt numFmtId="0" formatCode="General"/>
    </dxf>
    <dxf>
      <font>
        <b/>
        <i val="0"/>
        <strike val="0"/>
        <color rgb="FFFF0000"/>
      </font>
    </dxf>
    <dxf>
      <font>
        <b/>
        <i val="0"/>
        <strike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6"/>
        </patternFill>
      </fill>
    </dxf>
    <dxf>
      <fill>
        <patternFill>
          <bgColor rgb="FFFFFF00"/>
        </patternFill>
      </fill>
    </dxf>
    <dxf>
      <fill>
        <patternFill>
          <bgColor theme="6"/>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6"/>
        </patternFill>
      </fill>
    </dxf>
    <dxf>
      <fill>
        <patternFill>
          <bgColor rgb="FFFFFF00"/>
        </patternFill>
      </fill>
    </dxf>
    <dxf>
      <fill>
        <patternFill>
          <bgColor theme="6"/>
        </patternFill>
      </fill>
    </dxf>
    <dxf>
      <fill>
        <patternFill>
          <bgColor theme="6"/>
        </patternFill>
      </fill>
    </dxf>
    <dxf>
      <fill>
        <patternFill>
          <bgColor theme="6"/>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6"/>
        </patternFill>
      </fill>
    </dxf>
    <dxf>
      <fill>
        <patternFill>
          <bgColor rgb="FFFFFF00"/>
        </patternFill>
      </fill>
    </dxf>
    <dxf>
      <fill>
        <patternFill>
          <bgColor theme="6"/>
        </patternFill>
      </fill>
    </dxf>
    <dxf>
      <fill>
        <patternFill>
          <bgColor theme="6"/>
        </patternFill>
      </fill>
    </dxf>
    <dxf>
      <fill>
        <patternFill>
          <bgColor theme="6"/>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6"/>
        </patternFill>
      </fill>
    </dxf>
    <dxf>
      <fill>
        <patternFill>
          <bgColor rgb="FFFFFF00"/>
        </patternFill>
      </fill>
    </dxf>
    <dxf>
      <fill>
        <patternFill>
          <bgColor theme="6"/>
        </patternFill>
      </fill>
    </dxf>
    <dxf>
      <fill>
        <patternFill>
          <bgColor theme="6"/>
        </patternFill>
      </fill>
    </dxf>
    <dxf>
      <fill>
        <patternFill>
          <bgColor theme="6"/>
        </patternFill>
      </fill>
    </dxf>
    <dxf>
      <fill>
        <patternFill>
          <bgColor theme="6"/>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6"/>
        </patternFill>
      </fill>
    </dxf>
    <dxf>
      <fill>
        <patternFill>
          <bgColor rgb="FFFFFF00"/>
        </patternFill>
      </fill>
    </dxf>
    <dxf>
      <font>
        <b/>
        <i val="0"/>
        <color rgb="FFFF0000"/>
      </font>
    </dxf>
    <dxf>
      <fill>
        <patternFill>
          <bgColor rgb="FF92D050"/>
        </patternFill>
      </fill>
    </dxf>
    <dxf>
      <fill>
        <patternFill>
          <bgColor rgb="FF92D050"/>
        </patternFill>
      </fill>
    </dxf>
    <dxf>
      <font>
        <b/>
        <i val="0"/>
        <color rgb="FFFF0000"/>
      </font>
    </dxf>
    <dxf>
      <font>
        <b/>
        <i val="0"/>
        <color rgb="FFFF0000"/>
      </font>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b/>
        <i val="0"/>
        <color rgb="FFFF0000"/>
      </font>
    </dxf>
    <dxf>
      <font>
        <b/>
        <i val="0"/>
        <color rgb="FFFF0000"/>
      </font>
    </dxf>
    <dxf>
      <font>
        <b/>
        <i val="0"/>
        <color rgb="FFFF0000"/>
      </font>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b val="0"/>
        <i val="0"/>
        <color auto="1"/>
      </font>
      <fill>
        <patternFill>
          <bgColor rgb="FF92D050"/>
        </patternFill>
      </fill>
    </dxf>
    <dxf>
      <font>
        <b val="0"/>
        <i val="0"/>
        <color auto="1"/>
      </font>
      <fill>
        <patternFill>
          <bgColor rgb="FF92D050"/>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9.9948118533890809E-2"/>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rgb="FFFFFF00"/>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9.9948118533890809E-2"/>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9.9948118533890809E-2"/>
        </patternFill>
      </fill>
      <border>
        <left style="thin">
          <color auto="1"/>
        </left>
        <right style="thin">
          <color auto="1"/>
        </right>
        <top style="thin">
          <color auto="1"/>
        </top>
        <bottom style="thin">
          <color auto="1"/>
        </bottom>
        <vertical/>
        <horizontal/>
      </border>
    </dxf>
    <dxf>
      <font>
        <b/>
        <i val="0"/>
        <color theme="0"/>
      </font>
      <fill>
        <patternFill>
          <bgColor rgb="FFC00000"/>
        </patternFill>
      </fill>
    </dxf>
    <dxf>
      <font>
        <color rgb="FF9C6500"/>
      </font>
      <fill>
        <patternFill>
          <bgColor rgb="FFFFEB9C"/>
        </patternFill>
      </fill>
    </dxf>
    <dxf>
      <font>
        <color rgb="FF9C0006"/>
      </font>
      <fill>
        <patternFill>
          <bgColor rgb="FFFFC7CE"/>
        </patternFill>
      </fill>
    </dxf>
    <dxf>
      <font>
        <b/>
        <i val="0"/>
        <strike val="0"/>
        <color rgb="FFFF0000"/>
      </font>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border>
        <left style="thin">
          <color auto="1"/>
        </left>
        <right style="thin">
          <color auto="1"/>
        </right>
        <top style="thin">
          <color auto="1"/>
        </top>
        <bottom style="thin">
          <color auto="1"/>
        </bottom>
        <vertical/>
        <horizontal/>
      </border>
    </dxf>
    <dxf>
      <fill>
        <patternFill>
          <bgColor theme="9" tint="-0.499984740745262"/>
        </patternFill>
      </fill>
      <border>
        <left style="thin">
          <color auto="1"/>
        </left>
        <right style="thin">
          <color auto="1"/>
        </right>
        <top style="thin">
          <color auto="1"/>
        </top>
        <bottom style="thin">
          <color auto="1"/>
        </bottom>
        <vertical/>
        <horizontal/>
      </border>
    </dxf>
    <dxf>
      <fill>
        <patternFill>
          <bgColor theme="9" tint="-0.49998474074526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49998474074526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9.9948118533890809E-2"/>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border>
    </dxf>
    <dxf>
      <fill>
        <patternFill>
          <bgColor theme="9" tint="-9.9948118533890809E-2"/>
        </patternFill>
      </fill>
      <border>
        <left style="thin">
          <color auto="1"/>
        </left>
        <right style="thin">
          <color auto="1"/>
        </right>
        <top style="thin">
          <color auto="1"/>
        </top>
        <bottom style="thin">
          <color auto="1"/>
        </bottom>
        <vertical/>
        <horizontal/>
      </border>
    </dxf>
    <dxf>
      <fill>
        <patternFill>
          <bgColor theme="9" tint="-0.499984740745262"/>
        </patternFill>
      </fill>
      <border>
        <left style="thin">
          <color auto="1"/>
        </left>
        <right style="thin">
          <color auto="1"/>
        </right>
        <top style="thin">
          <color auto="1"/>
        </top>
        <bottom style="thin">
          <color auto="1"/>
        </bottom>
        <vertical/>
        <horizontal/>
      </border>
    </dxf>
    <dxf>
      <fill>
        <patternFill>
          <bgColor theme="9" tint="-0.499984740745262"/>
        </patternFill>
      </fill>
      <border>
        <left style="thin">
          <color auto="1"/>
        </left>
        <right style="thin">
          <color auto="1"/>
        </right>
        <top style="thin">
          <color auto="1"/>
        </top>
        <bottom style="thin">
          <color auto="1"/>
        </bottom>
        <vertical/>
        <horizontal/>
      </border>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border>
        <left style="thin">
          <color auto="1"/>
        </left>
        <right style="thin">
          <color auto="1"/>
        </right>
        <top style="thin">
          <color auto="1"/>
        </top>
        <bottom style="thin">
          <color auto="1"/>
        </bottom>
        <vertical/>
        <horizontal/>
      </border>
    </dxf>
    <dxf>
      <fill>
        <patternFill>
          <bgColor theme="9" tint="-9.9948118533890809E-2"/>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ont>
        <b/>
        <i val="0"/>
        <color rgb="FFFF0000"/>
      </font>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24994659260841701"/>
        </patternFill>
      </fill>
      <border>
        <left style="thin">
          <color auto="1"/>
        </left>
        <right style="thin">
          <color auto="1"/>
        </right>
        <top style="thin">
          <color auto="1"/>
        </top>
        <bottom style="thin">
          <color auto="1"/>
        </bottom>
        <vertical/>
        <horizontal/>
      </border>
    </dxf>
    <dxf>
      <fill>
        <patternFill>
          <bgColor theme="7" tint="-0.24994659260841701"/>
        </patternFill>
      </fill>
      <border>
        <left style="thin">
          <color auto="1"/>
        </left>
        <right style="thin">
          <color auto="1"/>
        </right>
        <top style="thin">
          <color auto="1"/>
        </top>
        <bottom style="thin">
          <color auto="1"/>
        </bottom>
        <vertical/>
        <horizontal/>
      </border>
    </dxf>
    <dxf>
      <fill>
        <patternFill>
          <bgColor theme="7" tint="-0.24994659260841701"/>
        </patternFill>
      </fill>
      <border>
        <left style="thin">
          <color auto="1"/>
        </left>
        <right style="thin">
          <color auto="1"/>
        </right>
        <top style="thin">
          <color auto="1"/>
        </top>
        <bottom style="thin">
          <color auto="1"/>
        </bottom>
        <vertical/>
        <horizontal/>
      </border>
    </dxf>
    <dxf>
      <fill>
        <patternFill>
          <bgColor theme="7" tint="-0.24994659260841701"/>
        </patternFill>
      </fill>
      <border>
        <left style="thin">
          <color auto="1"/>
        </left>
        <right style="thin">
          <color auto="1"/>
        </right>
        <top style="thin">
          <color auto="1"/>
        </top>
        <bottom style="thin">
          <color auto="1"/>
        </bottom>
        <vertical/>
        <horizontal/>
      </border>
    </dxf>
    <dxf>
      <font>
        <b val="0"/>
        <i val="0"/>
        <color auto="1"/>
      </font>
      <fill>
        <patternFill>
          <bgColor theme="7" tint="-0.24994659260841701"/>
        </patternFill>
      </fill>
      <border>
        <left style="thin">
          <color auto="1"/>
        </left>
        <right style="thin">
          <color auto="1"/>
        </right>
        <top style="thin">
          <color auto="1"/>
        </top>
        <bottom style="thin">
          <color auto="1"/>
        </bottom>
        <vertical/>
        <horizontal/>
      </border>
    </dxf>
    <dxf>
      <font>
        <b val="0"/>
        <i val="0"/>
        <color auto="1"/>
      </font>
      <fill>
        <patternFill>
          <bgColor theme="7" tint="-0.24994659260841701"/>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border>
        <left/>
        <right/>
        <top/>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patternType="solid">
          <bgColor theme="0"/>
        </patternFill>
      </fill>
      <border>
        <left/>
        <right/>
        <top/>
        <bottom/>
        <vertical/>
        <horizontal/>
      </border>
    </dxf>
  </dxfs>
  <tableStyles count="0" defaultTableStyle="TableStyleMedium2" defaultPivotStyle="PivotStyleLight16"/>
  <colors>
    <mruColors>
      <color rgb="FF63C0C0"/>
      <color rgb="FFA3EBE8"/>
      <color rgb="FFFF6D6D"/>
      <color rgb="FFFF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1345031</xdr:colOff>
      <xdr:row>0</xdr:row>
      <xdr:rowOff>662841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2517866" cy="662841"/>
        </a:xfrm>
        <a:prstGeom prst="rect">
          <a:avLst/>
        </a:prstGeom>
      </xdr:spPr>
    </xdr:pic>
    <xdr:clientData/>
  </xdr:twoCellAnchor>
  <xdr:twoCellAnchor editAs="oneCell">
    <xdr:from>
      <xdr:col>12</xdr:col>
      <xdr:colOff>79140</xdr:colOff>
      <xdr:row>16</xdr:row>
      <xdr:rowOff>0</xdr:rowOff>
    </xdr:from>
    <xdr:to>
      <xdr:col>12</xdr:col>
      <xdr:colOff>2154987</xdr:colOff>
      <xdr:row>28</xdr:row>
      <xdr:rowOff>68715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13660669" y="3526351"/>
          <a:ext cx="2075847" cy="2556421"/>
        </a:xfrm>
        <a:prstGeom prst="rect">
          <a:avLst/>
        </a:prstGeom>
        <a:ln>
          <a:solidFill>
            <a:schemeClr val="accent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1546737</xdr:colOff>
      <xdr:row>0</xdr:row>
      <xdr:rowOff>662841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2488031" cy="6628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95154</xdr:colOff>
      <xdr:row>0</xdr:row>
      <xdr:rowOff>662841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2499937" cy="6628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1789484</xdr:colOff>
      <xdr:row>0</xdr:row>
      <xdr:rowOff>662841</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0" y="0"/>
          <a:ext cx="2517866" cy="6628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359094</xdr:colOff>
      <xdr:row>0</xdr:row>
      <xdr:rowOff>662841</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0" y="0"/>
          <a:ext cx="2499937" cy="66284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1816378</xdr:colOff>
      <xdr:row>0</xdr:row>
      <xdr:rowOff>662841</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2517866" cy="6628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1816378</xdr:colOff>
      <xdr:row>0</xdr:row>
      <xdr:rowOff>662841</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2517866" cy="66284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1789484</xdr:colOff>
      <xdr:row>0</xdr:row>
      <xdr:rowOff>662841</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0" y="0"/>
          <a:ext cx="2517866" cy="66284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1917231</xdr:colOff>
      <xdr:row>0</xdr:row>
      <xdr:rowOff>662841</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2499937" cy="66284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1816378</xdr:colOff>
      <xdr:row>0</xdr:row>
      <xdr:rowOff>662841</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0" y="0"/>
          <a:ext cx="2499937" cy="66284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449261</xdr:colOff>
      <xdr:row>0</xdr:row>
      <xdr:rowOff>662841</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2506661" cy="66284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791841</xdr:colOff>
      <xdr:row>0</xdr:row>
      <xdr:rowOff>662841</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2517866" cy="66284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1928437</xdr:colOff>
      <xdr:row>0</xdr:row>
      <xdr:rowOff>662841</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0" y="0"/>
          <a:ext cx="2517866" cy="66284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1883613</xdr:colOff>
      <xdr:row>0</xdr:row>
      <xdr:rowOff>662841</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0" y="0"/>
          <a:ext cx="2499937" cy="66284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42</xdr:row>
          <xdr:rowOff>9525</xdr:rowOff>
        </xdr:from>
        <xdr:to>
          <xdr:col>1</xdr:col>
          <xdr:colOff>847725</xdr:colOff>
          <xdr:row>42</xdr:row>
          <xdr:rowOff>219075</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E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42</xdr:row>
          <xdr:rowOff>19050</xdr:rowOff>
        </xdr:from>
        <xdr:to>
          <xdr:col>1</xdr:col>
          <xdr:colOff>1304925</xdr:colOff>
          <xdr:row>42</xdr:row>
          <xdr:rowOff>228600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E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51</xdr:row>
          <xdr:rowOff>180975</xdr:rowOff>
        </xdr:from>
        <xdr:to>
          <xdr:col>1</xdr:col>
          <xdr:colOff>838200</xdr:colOff>
          <xdr:row>51</xdr:row>
          <xdr:rowOff>390525</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0E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51</xdr:row>
          <xdr:rowOff>171450</xdr:rowOff>
        </xdr:from>
        <xdr:to>
          <xdr:col>1</xdr:col>
          <xdr:colOff>1333500</xdr:colOff>
          <xdr:row>51</xdr:row>
          <xdr:rowOff>381000</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0E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59</xdr:row>
          <xdr:rowOff>152400</xdr:rowOff>
        </xdr:from>
        <xdr:to>
          <xdr:col>1</xdr:col>
          <xdr:colOff>838200</xdr:colOff>
          <xdr:row>60</xdr:row>
          <xdr:rowOff>180975</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0E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59</xdr:row>
          <xdr:rowOff>152400</xdr:rowOff>
        </xdr:from>
        <xdr:to>
          <xdr:col>1</xdr:col>
          <xdr:colOff>1285875</xdr:colOff>
          <xdr:row>60</xdr:row>
          <xdr:rowOff>180975</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E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68</xdr:row>
          <xdr:rowOff>152400</xdr:rowOff>
        </xdr:from>
        <xdr:to>
          <xdr:col>1</xdr:col>
          <xdr:colOff>866775</xdr:colOff>
          <xdr:row>70</xdr:row>
          <xdr:rowOff>0</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0E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552450</xdr:colOff>
          <xdr:row>68</xdr:row>
          <xdr:rowOff>152400</xdr:rowOff>
        </xdr:from>
        <xdr:to>
          <xdr:col>1</xdr:col>
          <xdr:colOff>1352550</xdr:colOff>
          <xdr:row>70</xdr:row>
          <xdr:rowOff>0</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0E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79</xdr:row>
          <xdr:rowOff>9525</xdr:rowOff>
        </xdr:from>
        <xdr:to>
          <xdr:col>2</xdr:col>
          <xdr:colOff>1123950</xdr:colOff>
          <xdr:row>80</xdr:row>
          <xdr:rowOff>28575</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0E00-00000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Housing Credit Certified Professional (HCCP)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80</xdr:row>
          <xdr:rowOff>9525</xdr:rowOff>
        </xdr:from>
        <xdr:to>
          <xdr:col>2</xdr:col>
          <xdr:colOff>1123950</xdr:colOff>
          <xdr:row>81</xdr:row>
          <xdr:rowOff>28575</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id="{00000000-0008-0000-0E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Certified Credit Compliance Professional (C3P)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9525</xdr:rowOff>
        </xdr:from>
        <xdr:to>
          <xdr:col>2</xdr:col>
          <xdr:colOff>1123950</xdr:colOff>
          <xdr:row>82</xdr:row>
          <xdr:rowOff>19050</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0E00-00000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Tax Credit Compliance System (TaCCS)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180975</xdr:rowOff>
        </xdr:from>
        <xdr:to>
          <xdr:col>2</xdr:col>
          <xdr:colOff>1123950</xdr:colOff>
          <xdr:row>83</xdr:row>
          <xdr:rowOff>19050</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0E00-00000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National Compliance Professional (NCP)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82</xdr:row>
          <xdr:rowOff>171450</xdr:rowOff>
        </xdr:from>
        <xdr:to>
          <xdr:col>2</xdr:col>
          <xdr:colOff>1123950</xdr:colOff>
          <xdr:row>84</xdr:row>
          <xdr:rowOff>9525</xdr:rowOff>
        </xdr:to>
        <xdr:sp macro="" textlink="">
          <xdr:nvSpPr>
            <xdr:cNvPr id="46093" name="Check Box 13" hidden="1">
              <a:extLst>
                <a:ext uri="{63B3BB69-23CF-44E3-9099-C40C66FF867C}">
                  <a14:compatExt spid="_x0000_s46093"/>
                </a:ext>
                <a:ext uri="{FF2B5EF4-FFF2-40B4-BE49-F238E27FC236}">
                  <a16:creationId xmlns:a16="http://schemas.microsoft.com/office/drawing/2014/main" id="{00000000-0008-0000-0E00-00000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Tax Credit Specialist (TCS) and (eTCS)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83</xdr:row>
          <xdr:rowOff>152400</xdr:rowOff>
        </xdr:from>
        <xdr:to>
          <xdr:col>2</xdr:col>
          <xdr:colOff>1123950</xdr:colOff>
          <xdr:row>85</xdr:row>
          <xdr:rowOff>9525</xdr:rowOff>
        </xdr:to>
        <xdr:sp macro="" textlink="">
          <xdr:nvSpPr>
            <xdr:cNvPr id="46094" name="Check Box 14" descr="Specialist in Housing Credit Management (SHCM)" hidden="1">
              <a:extLst>
                <a:ext uri="{63B3BB69-23CF-44E3-9099-C40C66FF867C}">
                  <a14:compatExt spid="_x0000_s46094"/>
                </a:ext>
                <a:ext uri="{FF2B5EF4-FFF2-40B4-BE49-F238E27FC236}">
                  <a16:creationId xmlns:a16="http://schemas.microsoft.com/office/drawing/2014/main" id="{00000000-0008-0000-0E00-00000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Specialist in Housing Credit Management (SHCM)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84</xdr:row>
          <xdr:rowOff>152400</xdr:rowOff>
        </xdr:from>
        <xdr:to>
          <xdr:col>2</xdr:col>
          <xdr:colOff>1123950</xdr:colOff>
          <xdr:row>86</xdr:row>
          <xdr:rowOff>19050</xdr:rowOff>
        </xdr:to>
        <xdr:sp macro="" textlink="">
          <xdr:nvSpPr>
            <xdr:cNvPr id="46095" name="Check Box 15" hidden="1">
              <a:extLst>
                <a:ext uri="{63B3BB69-23CF-44E3-9099-C40C66FF867C}">
                  <a14:compatExt spid="_x0000_s46095"/>
                </a:ext>
                <a:ext uri="{FF2B5EF4-FFF2-40B4-BE49-F238E27FC236}">
                  <a16:creationId xmlns:a16="http://schemas.microsoft.com/office/drawing/2014/main" id="{00000000-0008-0000-0E00-00000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None of the above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89</xdr:row>
          <xdr:rowOff>152400</xdr:rowOff>
        </xdr:from>
        <xdr:to>
          <xdr:col>1</xdr:col>
          <xdr:colOff>866775</xdr:colOff>
          <xdr:row>91</xdr:row>
          <xdr:rowOff>0</xdr:rowOff>
        </xdr:to>
        <xdr:sp macro="" textlink="">
          <xdr:nvSpPr>
            <xdr:cNvPr id="46096" name="Check Box 16" hidden="1">
              <a:extLst>
                <a:ext uri="{63B3BB69-23CF-44E3-9099-C40C66FF867C}">
                  <a14:compatExt spid="_x0000_s46096"/>
                </a:ext>
                <a:ext uri="{FF2B5EF4-FFF2-40B4-BE49-F238E27FC236}">
                  <a16:creationId xmlns:a16="http://schemas.microsoft.com/office/drawing/2014/main" id="{00000000-0008-0000-0E00-00001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89</xdr:row>
          <xdr:rowOff>152400</xdr:rowOff>
        </xdr:from>
        <xdr:to>
          <xdr:col>1</xdr:col>
          <xdr:colOff>1285875</xdr:colOff>
          <xdr:row>91</xdr:row>
          <xdr:rowOff>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E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106</xdr:row>
          <xdr:rowOff>161925</xdr:rowOff>
        </xdr:from>
        <xdr:to>
          <xdr:col>1</xdr:col>
          <xdr:colOff>819150</xdr:colOff>
          <xdr:row>108</xdr:row>
          <xdr:rowOff>9525</xdr:rowOff>
        </xdr:to>
        <xdr:sp macro="" textlink="">
          <xdr:nvSpPr>
            <xdr:cNvPr id="46098" name="Check Box 18" hidden="1">
              <a:extLst>
                <a:ext uri="{63B3BB69-23CF-44E3-9099-C40C66FF867C}">
                  <a14:compatExt spid="_x0000_s46098"/>
                </a:ext>
                <a:ext uri="{FF2B5EF4-FFF2-40B4-BE49-F238E27FC236}">
                  <a16:creationId xmlns:a16="http://schemas.microsoft.com/office/drawing/2014/main" id="{00000000-0008-0000-0E00-00001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106</xdr:row>
          <xdr:rowOff>161925</xdr:rowOff>
        </xdr:from>
        <xdr:to>
          <xdr:col>1</xdr:col>
          <xdr:colOff>1343025</xdr:colOff>
          <xdr:row>108</xdr:row>
          <xdr:rowOff>9525</xdr:rowOff>
        </xdr:to>
        <xdr:sp macro="" textlink="">
          <xdr:nvSpPr>
            <xdr:cNvPr id="46099" name="Check Box 19" hidden="1">
              <a:extLst>
                <a:ext uri="{63B3BB69-23CF-44E3-9099-C40C66FF867C}">
                  <a14:compatExt spid="_x0000_s46099"/>
                </a:ext>
                <a:ext uri="{FF2B5EF4-FFF2-40B4-BE49-F238E27FC236}">
                  <a16:creationId xmlns:a16="http://schemas.microsoft.com/office/drawing/2014/main" id="{00000000-0008-0000-0E00-00001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109</xdr:row>
          <xdr:rowOff>171450</xdr:rowOff>
        </xdr:from>
        <xdr:to>
          <xdr:col>1</xdr:col>
          <xdr:colOff>847725</xdr:colOff>
          <xdr:row>111</xdr:row>
          <xdr:rowOff>19050</xdr:rowOff>
        </xdr:to>
        <xdr:sp macro="" textlink="">
          <xdr:nvSpPr>
            <xdr:cNvPr id="46100" name="Check Box 20" hidden="1">
              <a:extLst>
                <a:ext uri="{63B3BB69-23CF-44E3-9099-C40C66FF867C}">
                  <a14:compatExt spid="_x0000_s46100"/>
                </a:ext>
                <a:ext uri="{FF2B5EF4-FFF2-40B4-BE49-F238E27FC236}">
                  <a16:creationId xmlns:a16="http://schemas.microsoft.com/office/drawing/2014/main" id="{00000000-0008-0000-0E00-00001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109</xdr:row>
          <xdr:rowOff>171450</xdr:rowOff>
        </xdr:from>
        <xdr:to>
          <xdr:col>1</xdr:col>
          <xdr:colOff>1343025</xdr:colOff>
          <xdr:row>111</xdr:row>
          <xdr:rowOff>19050</xdr:rowOff>
        </xdr:to>
        <xdr:sp macro="" textlink="">
          <xdr:nvSpPr>
            <xdr:cNvPr id="46101" name="Check Box 21" hidden="1">
              <a:extLst>
                <a:ext uri="{63B3BB69-23CF-44E3-9099-C40C66FF867C}">
                  <a14:compatExt spid="_x0000_s46101"/>
                </a:ext>
                <a:ext uri="{FF2B5EF4-FFF2-40B4-BE49-F238E27FC236}">
                  <a16:creationId xmlns:a16="http://schemas.microsoft.com/office/drawing/2014/main" id="{00000000-0008-0000-0E00-00001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112</xdr:row>
          <xdr:rowOff>161925</xdr:rowOff>
        </xdr:from>
        <xdr:to>
          <xdr:col>1</xdr:col>
          <xdr:colOff>809625</xdr:colOff>
          <xdr:row>114</xdr:row>
          <xdr:rowOff>9525</xdr:rowOff>
        </xdr:to>
        <xdr:sp macro="" textlink="">
          <xdr:nvSpPr>
            <xdr:cNvPr id="46102" name="Check Box 22" hidden="1">
              <a:extLst>
                <a:ext uri="{63B3BB69-23CF-44E3-9099-C40C66FF867C}">
                  <a14:compatExt spid="_x0000_s46102"/>
                </a:ext>
                <a:ext uri="{FF2B5EF4-FFF2-40B4-BE49-F238E27FC236}">
                  <a16:creationId xmlns:a16="http://schemas.microsoft.com/office/drawing/2014/main" id="{00000000-0008-0000-0E00-00001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112</xdr:row>
          <xdr:rowOff>161925</xdr:rowOff>
        </xdr:from>
        <xdr:to>
          <xdr:col>1</xdr:col>
          <xdr:colOff>1333500</xdr:colOff>
          <xdr:row>114</xdr:row>
          <xdr:rowOff>9525</xdr:rowOff>
        </xdr:to>
        <xdr:sp macro="" textlink="">
          <xdr:nvSpPr>
            <xdr:cNvPr id="46103" name="Check Box 23" hidden="1">
              <a:extLst>
                <a:ext uri="{63B3BB69-23CF-44E3-9099-C40C66FF867C}">
                  <a14:compatExt spid="_x0000_s46103"/>
                </a:ext>
                <a:ext uri="{FF2B5EF4-FFF2-40B4-BE49-F238E27FC236}">
                  <a16:creationId xmlns:a16="http://schemas.microsoft.com/office/drawing/2014/main" id="{00000000-0008-0000-0E00-00001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twoCellAnchor editAs="oneCell">
    <xdr:from>
      <xdr:col>0</xdr:col>
      <xdr:colOff>0</xdr:colOff>
      <xdr:row>0</xdr:row>
      <xdr:rowOff>0</xdr:rowOff>
    </xdr:from>
    <xdr:to>
      <xdr:col>1</xdr:col>
      <xdr:colOff>1894819</xdr:colOff>
      <xdr:row>0</xdr:row>
      <xdr:rowOff>662841</xdr:rowOff>
    </xdr:to>
    <xdr:pic>
      <xdr:nvPicPr>
        <xdr:cNvPr id="26" name="Picture 25">
          <a:extLst>
            <a:ext uri="{FF2B5EF4-FFF2-40B4-BE49-F238E27FC236}">
              <a16:creationId xmlns:a16="http://schemas.microsoft.com/office/drawing/2014/main" id="{00000000-0008-0000-0E00-00001A000000}"/>
            </a:ext>
          </a:extLst>
        </xdr:cNvPr>
        <xdr:cNvPicPr>
          <a:picLocks noChangeAspect="1"/>
        </xdr:cNvPicPr>
      </xdr:nvPicPr>
      <xdr:blipFill>
        <a:blip xmlns:r="http://schemas.openxmlformats.org/officeDocument/2006/relationships" r:embed="rId1"/>
        <a:stretch>
          <a:fillRect/>
        </a:stretch>
      </xdr:blipFill>
      <xdr:spPr>
        <a:xfrm>
          <a:off x="0" y="0"/>
          <a:ext cx="2499937" cy="662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57150</xdr:colOff>
          <xdr:row>78</xdr:row>
          <xdr:rowOff>9525</xdr:rowOff>
        </xdr:from>
        <xdr:to>
          <xdr:col>2</xdr:col>
          <xdr:colOff>1123950</xdr:colOff>
          <xdr:row>79</xdr:row>
          <xdr:rowOff>28575</xdr:rowOff>
        </xdr:to>
        <xdr:sp macro="" textlink="">
          <xdr:nvSpPr>
            <xdr:cNvPr id="46105" name="Check Box 25" hidden="1">
              <a:extLst>
                <a:ext uri="{63B3BB69-23CF-44E3-9099-C40C66FF867C}">
                  <a14:compatExt spid="_x0000_s46105"/>
                </a:ext>
                <a:ext uri="{FF2B5EF4-FFF2-40B4-BE49-F238E27FC236}">
                  <a16:creationId xmlns:a16="http://schemas.microsoft.com/office/drawing/2014/main" id="{00000000-0008-0000-0E00-00001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Certified Housing Asset Manager (CHAM)</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458866</xdr:colOff>
      <xdr:row>0</xdr:row>
      <xdr:rowOff>662841</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stretch>
          <a:fillRect/>
        </a:stretch>
      </xdr:blipFill>
      <xdr:spPr>
        <a:xfrm>
          <a:off x="0" y="0"/>
          <a:ext cx="2509542" cy="66284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1806153</xdr:colOff>
      <xdr:row>0</xdr:row>
      <xdr:rowOff>662841</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2490524" cy="662841"/>
        </a:xfrm>
        <a:prstGeom prst="rect">
          <a:avLst/>
        </a:prstGeom>
      </xdr:spPr>
    </xdr:pic>
    <xdr:clientData/>
  </xdr:twoCellAnchor>
  <xdr:twoCellAnchor editAs="oneCell">
    <xdr:from>
      <xdr:col>1</xdr:col>
      <xdr:colOff>0</xdr:colOff>
      <xdr:row>0</xdr:row>
      <xdr:rowOff>0</xdr:rowOff>
    </xdr:from>
    <xdr:to>
      <xdr:col>2</xdr:col>
      <xdr:colOff>1807273</xdr:colOff>
      <xdr:row>0</xdr:row>
      <xdr:rowOff>662841</xdr:rowOff>
    </xdr:to>
    <xdr:pic>
      <xdr:nvPicPr>
        <xdr:cNvPr id="10" name="Picture 9">
          <a:extLst>
            <a:ext uri="{FF2B5EF4-FFF2-40B4-BE49-F238E27FC236}">
              <a16:creationId xmlns:a16="http://schemas.microsoft.com/office/drawing/2014/main" id="{00000000-0008-0000-1000-00000A000000}"/>
            </a:ext>
          </a:extLst>
        </xdr:cNvPr>
        <xdr:cNvPicPr>
          <a:picLocks noChangeAspect="1"/>
        </xdr:cNvPicPr>
      </xdr:nvPicPr>
      <xdr:blipFill>
        <a:blip xmlns:r="http://schemas.openxmlformats.org/officeDocument/2006/relationships" r:embed="rId1"/>
        <a:stretch>
          <a:fillRect/>
        </a:stretch>
      </xdr:blipFill>
      <xdr:spPr>
        <a:xfrm>
          <a:off x="200025" y="0"/>
          <a:ext cx="2495454" cy="66284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1806152</xdr:colOff>
      <xdr:row>0</xdr:row>
      <xdr:rowOff>662841</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stretch>
          <a:fillRect/>
        </a:stretch>
      </xdr:blipFill>
      <xdr:spPr>
        <a:xfrm>
          <a:off x="0" y="0"/>
          <a:ext cx="2499937" cy="662841"/>
        </a:xfrm>
        <a:prstGeom prst="rect">
          <a:avLst/>
        </a:prstGeom>
      </xdr:spPr>
    </xdr:pic>
    <xdr:clientData/>
  </xdr:twoCellAnchor>
  <xdr:twoCellAnchor editAs="oneCell">
    <xdr:from>
      <xdr:col>1</xdr:col>
      <xdr:colOff>0</xdr:colOff>
      <xdr:row>0</xdr:row>
      <xdr:rowOff>0</xdr:rowOff>
    </xdr:from>
    <xdr:to>
      <xdr:col>2</xdr:col>
      <xdr:colOff>1807272</xdr:colOff>
      <xdr:row>0</xdr:row>
      <xdr:rowOff>662841</xdr:rowOff>
    </xdr:to>
    <xdr:pic>
      <xdr:nvPicPr>
        <xdr:cNvPr id="10" name="Picture 9">
          <a:extLst>
            <a:ext uri="{FF2B5EF4-FFF2-40B4-BE49-F238E27FC236}">
              <a16:creationId xmlns:a16="http://schemas.microsoft.com/office/drawing/2014/main" id="{00000000-0008-0000-1100-00000A000000}"/>
            </a:ext>
          </a:extLst>
        </xdr:cNvPr>
        <xdr:cNvPicPr>
          <a:picLocks noChangeAspect="1"/>
        </xdr:cNvPicPr>
      </xdr:nvPicPr>
      <xdr:blipFill>
        <a:blip xmlns:r="http://schemas.openxmlformats.org/officeDocument/2006/relationships" r:embed="rId1"/>
        <a:stretch>
          <a:fillRect/>
        </a:stretch>
      </xdr:blipFill>
      <xdr:spPr>
        <a:xfrm>
          <a:off x="200025" y="0"/>
          <a:ext cx="2495454" cy="66284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1838790</xdr:colOff>
      <xdr:row>0</xdr:row>
      <xdr:rowOff>662841</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a:stretch>
          <a:fillRect/>
        </a:stretch>
      </xdr:blipFill>
      <xdr:spPr>
        <a:xfrm>
          <a:off x="0" y="0"/>
          <a:ext cx="2499937" cy="66284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1838790</xdr:colOff>
      <xdr:row>0</xdr:row>
      <xdr:rowOff>662841</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2496015" cy="66284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1838790</xdr:colOff>
      <xdr:row>0</xdr:row>
      <xdr:rowOff>662841</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2496015" cy="66284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1838790</xdr:colOff>
      <xdr:row>0</xdr:row>
      <xdr:rowOff>662841</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2496015" cy="66284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1838790</xdr:colOff>
      <xdr:row>0</xdr:row>
      <xdr:rowOff>662841</xdr:rowOff>
    </xdr:to>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2496015" cy="66284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442537</xdr:colOff>
      <xdr:row>0</xdr:row>
      <xdr:rowOff>662841</xdr:rowOff>
    </xdr:to>
    <xdr:pic>
      <xdr:nvPicPr>
        <xdr:cNvPr id="3" name="Picture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stretch>
          <a:fillRect/>
        </a:stretch>
      </xdr:blipFill>
      <xdr:spPr>
        <a:xfrm>
          <a:off x="0" y="0"/>
          <a:ext cx="2499937" cy="66284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442537</xdr:colOff>
      <xdr:row>0</xdr:row>
      <xdr:rowOff>662841</xdr:rowOff>
    </xdr:to>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2499937" cy="66284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1419690</xdr:colOff>
      <xdr:row>0</xdr:row>
      <xdr:rowOff>662841</xdr:rowOff>
    </xdr:to>
    <xdr:pic>
      <xdr:nvPicPr>
        <xdr:cNvPr id="3" name="Picture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stretch>
          <a:fillRect/>
        </a:stretch>
      </xdr:blipFill>
      <xdr:spPr>
        <a:xfrm>
          <a:off x="0" y="0"/>
          <a:ext cx="2517866" cy="662841"/>
        </a:xfrm>
        <a:prstGeom prst="rect">
          <a:avLst/>
        </a:prstGeom>
      </xdr:spPr>
    </xdr:pic>
    <xdr:clientData/>
  </xdr:twoCellAnchor>
  <xdr:twoCellAnchor editAs="oneCell">
    <xdr:from>
      <xdr:col>0</xdr:col>
      <xdr:colOff>0</xdr:colOff>
      <xdr:row>0</xdr:row>
      <xdr:rowOff>0</xdr:rowOff>
    </xdr:from>
    <xdr:to>
      <xdr:col>1</xdr:col>
      <xdr:colOff>1419690</xdr:colOff>
      <xdr:row>0</xdr:row>
      <xdr:rowOff>662841</xdr:rowOff>
    </xdr:to>
    <xdr:pic>
      <xdr:nvPicPr>
        <xdr:cNvPr id="4" name="Picture 3">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a:stretch>
          <a:fillRect/>
        </a:stretch>
      </xdr:blipFill>
      <xdr:spPr>
        <a:xfrm>
          <a:off x="0" y="0"/>
          <a:ext cx="2519547" cy="662841"/>
        </a:xfrm>
        <a:prstGeom prst="rect">
          <a:avLst/>
        </a:prstGeom>
      </xdr:spPr>
    </xdr:pic>
    <xdr:clientData/>
  </xdr:twoCellAnchor>
  <xdr:twoCellAnchor editAs="oneCell">
    <xdr:from>
      <xdr:col>0</xdr:col>
      <xdr:colOff>0</xdr:colOff>
      <xdr:row>0</xdr:row>
      <xdr:rowOff>0</xdr:rowOff>
    </xdr:from>
    <xdr:to>
      <xdr:col>1</xdr:col>
      <xdr:colOff>1419690</xdr:colOff>
      <xdr:row>0</xdr:row>
      <xdr:rowOff>662841</xdr:rowOff>
    </xdr:to>
    <xdr:pic>
      <xdr:nvPicPr>
        <xdr:cNvPr id="5" name="Picture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1"/>
        <a:stretch>
          <a:fillRect/>
        </a:stretch>
      </xdr:blipFill>
      <xdr:spPr>
        <a:xfrm>
          <a:off x="0" y="0"/>
          <a:ext cx="2519547" cy="66284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1327547</xdr:colOff>
      <xdr:row>0</xdr:row>
      <xdr:rowOff>666750</xdr:rowOff>
    </xdr:to>
    <xdr:pic>
      <xdr:nvPicPr>
        <xdr:cNvPr id="3" name="Picture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a:stretch>
          <a:fillRect/>
        </a:stretch>
      </xdr:blipFill>
      <xdr:spPr>
        <a:xfrm>
          <a:off x="0" y="0"/>
          <a:ext cx="2655094" cy="666750"/>
        </a:xfrm>
        <a:prstGeom prst="rect">
          <a:avLst/>
        </a:prstGeom>
      </xdr:spPr>
    </xdr:pic>
    <xdr:clientData/>
  </xdr:twoCellAnchor>
</xdr:wsDr>
</file>

<file path=xl/theme/theme1.xml><?xml version="1.0" encoding="utf-8"?>
<a:theme xmlns:a="http://schemas.openxmlformats.org/drawingml/2006/main" name="OHFA Theme">
  <a:themeElements>
    <a:clrScheme name="Custom 2">
      <a:dk1>
        <a:sysClr val="windowText" lastClr="000000"/>
      </a:dk1>
      <a:lt1>
        <a:sysClr val="window" lastClr="FFFFFF"/>
      </a:lt1>
      <a:dk2>
        <a:srgbClr val="44546A"/>
      </a:dk2>
      <a:lt2>
        <a:srgbClr val="E7E6E6"/>
      </a:lt2>
      <a:accent1>
        <a:srgbClr val="005186"/>
      </a:accent1>
      <a:accent2>
        <a:srgbClr val="56AA80"/>
      </a:accent2>
      <a:accent3>
        <a:srgbClr val="7F7F7F"/>
      </a:accent3>
      <a:accent4>
        <a:srgbClr val="A8DCDC"/>
      </a:accent4>
      <a:accent5>
        <a:srgbClr val="C4CC8F"/>
      </a:accent5>
      <a:accent6>
        <a:srgbClr val="D8D8D8"/>
      </a:accent6>
      <a:hlink>
        <a:srgbClr val="407F60"/>
      </a:hlink>
      <a:folHlink>
        <a:srgbClr val="005186"/>
      </a:folHlink>
    </a:clrScheme>
    <a:fontScheme name="Custom 2">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hiohome.org/ppd/resources.aspx" TargetMode="External"/><Relationship Id="rId2" Type="http://schemas.openxmlformats.org/officeDocument/2006/relationships/hyperlink" Target="https://ohiohome.org/ppd/documents/2023-QAP-TechnicalAmendment.pdf" TargetMode="External"/><Relationship Id="rId1" Type="http://schemas.openxmlformats.org/officeDocument/2006/relationships/hyperlink" Target="http://ohiohome.org/ppd/hdl.asp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ohiohome.org/ppd/resources.asp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ohiohome.org/ppd/hdap.aspx" TargetMode="External"/><Relationship Id="rId13" Type="http://schemas.openxmlformats.org/officeDocument/2006/relationships/drawing" Target="../drawings/drawing2.xml"/><Relationship Id="rId3" Type="http://schemas.openxmlformats.org/officeDocument/2006/relationships/hyperlink" Target="https://ohiohome.org/ppd/mfbond.aspx" TargetMode="External"/><Relationship Id="rId7" Type="http://schemas.openxmlformats.org/officeDocument/2006/relationships/hyperlink" Target="https://ohiohome.org/ppd/documents/2020-2021-QAP-TechnicalRevisions.pdf" TargetMode="External"/><Relationship Id="rId12" Type="http://schemas.openxmlformats.org/officeDocument/2006/relationships/printerSettings" Target="../printerSettings/printerSettings2.bin"/><Relationship Id="rId2" Type="http://schemas.openxmlformats.org/officeDocument/2006/relationships/hyperlink" Target="https://ohiohome.org/ppd/documents/2020-2021-QAP-TechnicalRevisions.pdf" TargetMode="External"/><Relationship Id="rId1" Type="http://schemas.openxmlformats.org/officeDocument/2006/relationships/hyperlink" Target="https://ohiohome.org/ppd/mfbond.aspx" TargetMode="External"/><Relationship Id="rId6" Type="http://schemas.openxmlformats.org/officeDocument/2006/relationships/hyperlink" Target="https://ohiohome.org/ppd/mfbond.aspx" TargetMode="External"/><Relationship Id="rId11" Type="http://schemas.openxmlformats.org/officeDocument/2006/relationships/hyperlink" Target="https://ohiohome.org/ppd/documents/2022-2023-QAP.pdf" TargetMode="External"/><Relationship Id="rId5" Type="http://schemas.openxmlformats.org/officeDocument/2006/relationships/hyperlink" Target="https://ohiohome.org/ppd/mfbond.aspx" TargetMode="External"/><Relationship Id="rId15" Type="http://schemas.openxmlformats.org/officeDocument/2006/relationships/comments" Target="../comments1.xml"/><Relationship Id="rId10" Type="http://schemas.openxmlformats.org/officeDocument/2006/relationships/hyperlink" Target="https://ohiohome.org/ppd/documents/2022-2023-QAP.pdf" TargetMode="External"/><Relationship Id="rId4" Type="http://schemas.openxmlformats.org/officeDocument/2006/relationships/hyperlink" Target="https://ohiohome.org/ppd/documents/2020-2021-QAP-TechnicalRevisions.pdf" TargetMode="External"/><Relationship Id="rId9" Type="http://schemas.openxmlformats.org/officeDocument/2006/relationships/hyperlink" Target="file:///C:\Users\smakoski\AppData\Local\Microsoft\Windows\INetCache\Content.Outlook\AppData\Local\Microsoft\Windows\INetCache\Content.Outlook\090WCG3S\2022%20Affordable%20Housing%20Funding%20Application%201.20.22.xlsx"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legislature.ohio.gov/legislators/find-my-legislators" TargetMode="External"/><Relationship Id="rId13" Type="http://schemas.openxmlformats.org/officeDocument/2006/relationships/drawing" Target="../drawings/drawing4.xml"/><Relationship Id="rId3" Type="http://schemas.openxmlformats.org/officeDocument/2006/relationships/hyperlink" Target="https://geomap.ffiec.gov/FFIECGeocMap/GeocodeMap1.aspx" TargetMode="External"/><Relationship Id="rId7" Type="http://schemas.openxmlformats.org/officeDocument/2006/relationships/hyperlink" Target="https://www.legislature.ohio.gov/legislators/find-my-legislators" TargetMode="External"/><Relationship Id="rId12" Type="http://schemas.openxmlformats.org/officeDocument/2006/relationships/printerSettings" Target="../printerSettings/printerSettings4.bin"/><Relationship Id="rId2" Type="http://schemas.openxmlformats.org/officeDocument/2006/relationships/hyperlink" Target="https://www.latlong.net/" TargetMode="External"/><Relationship Id="rId1" Type="http://schemas.openxmlformats.org/officeDocument/2006/relationships/hyperlink" Target="https://www.latlong.net/" TargetMode="External"/><Relationship Id="rId6" Type="http://schemas.openxmlformats.org/officeDocument/2006/relationships/hyperlink" Target="https://tools.usps.com/go/ZipLookupAction!input.action" TargetMode="External"/><Relationship Id="rId11" Type="http://schemas.openxmlformats.org/officeDocument/2006/relationships/hyperlink" Target="https://ohfa.maps.arcgis.com/apps/instant/lookup/index.html?appid=69581d7b2c9d43b4937f83ded364406b&amp;center=-82.6914%2C40.1951&amp;level=7" TargetMode="External"/><Relationship Id="rId5" Type="http://schemas.openxmlformats.org/officeDocument/2006/relationships/hyperlink" Target="https://tools.usps.com/go/ZipLookupAction!input.action" TargetMode="External"/><Relationship Id="rId15" Type="http://schemas.openxmlformats.org/officeDocument/2006/relationships/comments" Target="../comments2.xml"/><Relationship Id="rId10" Type="http://schemas.openxmlformats.org/officeDocument/2006/relationships/hyperlink" Target="https://ohfa.maps.arcgis.com/apps/instant/lookup/index.html?appid=69581d7b2c9d43b4937f83ded364406b" TargetMode="External"/><Relationship Id="rId4" Type="http://schemas.openxmlformats.org/officeDocument/2006/relationships/hyperlink" Target="https://www.hud.gov/program_offices/fair_housing_equal_opp/fair_housing_act_housing_older_persons" TargetMode="External"/><Relationship Id="rId9" Type="http://schemas.openxmlformats.org/officeDocument/2006/relationships/hyperlink" Target="https://www.house.gov/representatives/find-your-representative" TargetMode="External"/><Relationship Id="rId1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ohiohome.org/ppd/htc.aspx" TargetMode="External"/><Relationship Id="rId2" Type="http://schemas.openxmlformats.org/officeDocument/2006/relationships/hyperlink" Target="http://ohiohome.org/ppd/mflending.aspx" TargetMode="External"/><Relationship Id="rId1" Type="http://schemas.openxmlformats.org/officeDocument/2006/relationships/hyperlink" Target="http://ohiohome.org/ppd/hdl.aspx" TargetMode="External"/><Relationship Id="rId6" Type="http://schemas.openxmlformats.org/officeDocument/2006/relationships/drawing" Target="../drawings/drawing13.xml"/><Relationship Id="rId5" Type="http://schemas.openxmlformats.org/officeDocument/2006/relationships/printerSettings" Target="../printerSettings/printerSettings13.bin"/><Relationship Id="rId4" Type="http://schemas.openxmlformats.org/officeDocument/2006/relationships/hyperlink" Target="https://ohiohome.org/ppd/documents/2019-HDL-Guidelines.pdf"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s://ohiohome.org/ppd/mfbond.aspx" TargetMode="Externa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7.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s://www.arcgis.com/home/webmap/viewer.html?webmap=c5703afa6dc3453da218785b733ed716&amp;extent=-88.0941,38.2058,-77.3275,42.3931" TargetMode="External"/><Relationship Id="rId2" Type="http://schemas.openxmlformats.org/officeDocument/2006/relationships/hyperlink" Target="https://ohfa.maps.arcgis.com/apps/webappviewer/index.html?id=aa0a1466cd83474fa005d45752c7be4f&amp;extent=-9578020.8264%2C4661384.6174%2C-8795305.6568%2C5137128.6815%2C102100" TargetMode="External"/><Relationship Id="rId1" Type="http://schemas.openxmlformats.org/officeDocument/2006/relationships/hyperlink" Target="https://ohfa.maps.arcgis.com/apps/webappviewer/index.html?id=67b55ef816e74678bf69bac05c4452b7&amp;extent=-9626489.3327%2C4678774.3786%2C-8843774.1631%2C5154518.4427%2C102100" TargetMode="External"/><Relationship Id="rId6" Type="http://schemas.openxmlformats.org/officeDocument/2006/relationships/drawing" Target="../drawings/drawing17.xml"/><Relationship Id="rId5" Type="http://schemas.openxmlformats.org/officeDocument/2006/relationships/printerSettings" Target="../printerSettings/printerSettings17.bin"/><Relationship Id="rId4" Type="http://schemas.openxmlformats.org/officeDocument/2006/relationships/hyperlink" Target="https://www.arcgis.com/home/webmap/viewer.html?webmap=c5703afa6dc3453da218785b733ed716&amp;extent=-88.0941,38.2058,-77.3275,42.3931"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drawing" Target="../drawings/drawing19.xml"/><Relationship Id="rId3" Type="http://schemas.openxmlformats.org/officeDocument/2006/relationships/hyperlink" Target="https://ohfa.maps.arcgis.com/apps/webappviewer/index.html?id=6fee66c125da4e10892febd8d8a1e322&amp;extent=-10078056.1949%2C4476516.147%2C-8265581.3802%2C5313042.9845%2C102100" TargetMode="External"/><Relationship Id="rId7" Type="http://schemas.openxmlformats.org/officeDocument/2006/relationships/printerSettings" Target="../printerSettings/printerSettings19.bin"/><Relationship Id="rId2" Type="http://schemas.openxmlformats.org/officeDocument/2006/relationships/hyperlink" Target="https://ohfa.maps.arcgis.com/apps/webappviewer/index.html?id=6fee66c125da4e10892febd8d8a1e322&amp;extent=-10078056.1949%2C4476516.147%2C-8265581.3802%2C5313042.9845%2C102100" TargetMode="External"/><Relationship Id="rId1" Type="http://schemas.openxmlformats.org/officeDocument/2006/relationships/hyperlink" Target="https://ohfa.maps.arcgis.com/apps/webappviewer/index.html?id=6fee66c125da4e10892febd8d8a1e322&amp;extent=-10078056.1949%2C4476516.147%2C-8265581.3802%2C5313042.9845%2C102100" TargetMode="External"/><Relationship Id="rId6" Type="http://schemas.openxmlformats.org/officeDocument/2006/relationships/hyperlink" Target="https://ohfa.maps.arcgis.com/apps/webappviewer/index.html?id=6fee66c125da4e10892febd8d8a1e322&amp;extent=-10078056.1949%2C4476516.147%2C-8265581.3802%2C5313042.9845%2C102100" TargetMode="External"/><Relationship Id="rId5" Type="http://schemas.openxmlformats.org/officeDocument/2006/relationships/hyperlink" Target="https://ohfa.maps.arcgis.com/apps/webappviewer/index.html?id=6fee66c125da4e10892febd8d8a1e322&amp;extent=-10078056.1949%2C4476516.147%2C-8265581.3802%2C5313042.9845%2C102100" TargetMode="External"/><Relationship Id="rId4" Type="http://schemas.openxmlformats.org/officeDocument/2006/relationships/hyperlink" Target="https://ohfa.maps.arcgis.com/apps/webappviewer/index.html?id=6fee66c125da4e10892febd8d8a1e322&amp;extent=-10078056.1949%2C4476516.147%2C-8265581.3802%2C5313042.9845%2C102100" TargetMode="External"/></Relationships>
</file>

<file path=xl/worksheets/_rels/sheet20.xml.rels><?xml version="1.0" encoding="UTF-8" standalone="yes"?>
<Relationships xmlns="http://schemas.openxmlformats.org/package/2006/relationships"><Relationship Id="rId8" Type="http://schemas.openxmlformats.org/officeDocument/2006/relationships/drawing" Target="../drawings/drawing20.xml"/><Relationship Id="rId3" Type="http://schemas.openxmlformats.org/officeDocument/2006/relationships/hyperlink" Target="https://ohfa.maps.arcgis.com/apps/webappviewer/index.html?id=c2f1a54659d34949aa4ab7e0cfb52d31&amp;extent=-9964003.8106%2C4494412.6844%2C-8151528.9959%2C5330939.522%2C102100" TargetMode="External"/><Relationship Id="rId7" Type="http://schemas.openxmlformats.org/officeDocument/2006/relationships/printerSettings" Target="../printerSettings/printerSettings20.bin"/><Relationship Id="rId2" Type="http://schemas.openxmlformats.org/officeDocument/2006/relationships/hyperlink" Target="https://ohfa.maps.arcgis.com/apps/webappviewer/index.html?id=c2f1a54659d34949aa4ab7e0cfb52d31&amp;extent=-9964003.8106%2C4494412.6844%2C-8151528.9959%2C5330939.522%2C102100" TargetMode="External"/><Relationship Id="rId1" Type="http://schemas.openxmlformats.org/officeDocument/2006/relationships/hyperlink" Target="https://ohfa.maps.arcgis.com/apps/webappviewer/index.html?id=c2f1a54659d34949aa4ab7e0cfb52d31&amp;extent=-9964003.8106%2C4494412.6844%2C-8151528.9959%2C5330939.522%2C102100" TargetMode="External"/><Relationship Id="rId6" Type="http://schemas.openxmlformats.org/officeDocument/2006/relationships/hyperlink" Target="https://ohfa.maps.arcgis.com/apps/webappviewer/index.html?id=c2f1a54659d34949aa4ab7e0cfb52d31&amp;extent=-9964003.8106%2C4494412.6844%2C-8151528.9959%2C5330939.522%2C102100" TargetMode="External"/><Relationship Id="rId5" Type="http://schemas.openxmlformats.org/officeDocument/2006/relationships/hyperlink" Target="https://ohfa.maps.arcgis.com/apps/webappviewer/index.html?id=c2f1a54659d34949aa4ab7e0cfb52d31&amp;extent=-9964003.8106%2C4494412.6844%2C-8151528.9959%2C5330939.522%2C102100" TargetMode="External"/><Relationship Id="rId4" Type="http://schemas.openxmlformats.org/officeDocument/2006/relationships/hyperlink" Target="https://ohfa.maps.arcgis.com/apps/webappviewer/index.html?id=c2f1a54659d34949aa4ab7e0cfb52d31&amp;extent=-9964003.8106%2C4494412.6844%2C-8151528.9959%2C5330939.522%2C102100" TargetMode="External"/></Relationships>
</file>

<file path=xl/worksheets/_rels/sheet21.xml.rels><?xml version="1.0" encoding="UTF-8" standalone="yes"?>
<Relationships xmlns="http://schemas.openxmlformats.org/package/2006/relationships"><Relationship Id="rId8" Type="http://schemas.openxmlformats.org/officeDocument/2006/relationships/drawing" Target="../drawings/drawing21.xml"/><Relationship Id="rId3" Type="http://schemas.openxmlformats.org/officeDocument/2006/relationships/hyperlink" Target="https://ohfa.maps.arcgis.com/apps/webappviewer/index.html?id=4fb9f628dd8b4d79b04e1353386e1406&amp;extent=-10078056.1949%2C4476516.147%2C-8265581.3802%2C5313042.9845%2C102100" TargetMode="External"/><Relationship Id="rId7" Type="http://schemas.openxmlformats.org/officeDocument/2006/relationships/printerSettings" Target="../printerSettings/printerSettings21.bin"/><Relationship Id="rId2" Type="http://schemas.openxmlformats.org/officeDocument/2006/relationships/hyperlink" Target="https://ohfa.maps.arcgis.com/apps/webappviewer/index.html?id=4fb9f628dd8b4d79b04e1353386e1406&amp;extent=-10078056.1949%2C4476516.147%2C-8265581.3802%2C5313042.9845%2C102100" TargetMode="External"/><Relationship Id="rId1" Type="http://schemas.openxmlformats.org/officeDocument/2006/relationships/hyperlink" Target="https://ohfa.maps.arcgis.com/apps/webappviewer/index.html?id=4fb9f628dd8b4d79b04e1353386e1406&amp;extent=-10078056.1949%2C4476516.147%2C-8265581.3802%2C5313042.9845%2C102100" TargetMode="External"/><Relationship Id="rId6" Type="http://schemas.openxmlformats.org/officeDocument/2006/relationships/hyperlink" Target="https://ohfa.maps.arcgis.com/apps/webappviewer/index.html?id=4fb9f628dd8b4d79b04e1353386e1406&amp;extent=-10078056.1949%2C4476516.147%2C-8265581.3802%2C5313042.9845%2C102100" TargetMode="External"/><Relationship Id="rId5" Type="http://schemas.openxmlformats.org/officeDocument/2006/relationships/hyperlink" Target="https://ohfa.maps.arcgis.com/apps/webappviewer/index.html?id=4fb9f628dd8b4d79b04e1353386e1406&amp;extent=-10078056.1949%2C4476516.147%2C-8265581.3802%2C5313042.9845%2C102100" TargetMode="External"/><Relationship Id="rId4" Type="http://schemas.openxmlformats.org/officeDocument/2006/relationships/hyperlink" Target="https://ohfa.maps.arcgis.com/apps/webappviewer/index.html?id=4fb9f628dd8b4d79b04e1353386e1406&amp;extent=-10078056.1949%2C4476516.147%2C-8265581.3802%2C5313042.9845%2C102100"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hyperlink" Target="https://ohfa.maps.arcgis.com/apps/webappviewer/index.html?id=7148855a87ff47d3b334bbebcac88796&amp;extent=-9678912.1988%2C4537161.4286%2C-8372756.2595%2C5299085.7265%2C102100" TargetMode="External"/><Relationship Id="rId2" Type="http://schemas.openxmlformats.org/officeDocument/2006/relationships/hyperlink" Target="https://ohfa.maps.arcgis.com/apps/webappviewer/index.html?id=7148855a87ff47d3b334bbebcac88796&amp;extent=-9678912.1988%2C4537161.4286%2C-8372756.2595%2C5299085.7265%2C102100" TargetMode="External"/><Relationship Id="rId1" Type="http://schemas.openxmlformats.org/officeDocument/2006/relationships/hyperlink" Target="https://ohfa.maps.arcgis.com/apps/webappviewer/index.html?id=7148855a87ff47d3b334bbebcac88796&amp;extent=-9678912.1988%2C4537161.4286%2C-8372756.2595%2C5299085.7265%2C102100" TargetMode="External"/><Relationship Id="rId5" Type="http://schemas.openxmlformats.org/officeDocument/2006/relationships/drawing" Target="../drawings/drawing23.xml"/><Relationship Id="rId4"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M85"/>
  <sheetViews>
    <sheetView showGridLines="0" tabSelected="1" zoomScale="85" zoomScaleNormal="85" workbookViewId="0">
      <selection activeCell="C24" sqref="C24"/>
    </sheetView>
  </sheetViews>
  <sheetFormatPr defaultColWidth="9" defaultRowHeight="14.25" x14ac:dyDescent="0.2"/>
  <cols>
    <col min="1" max="1" width="3.75" style="5" customWidth="1"/>
    <col min="2" max="2" width="11.25" style="5" customWidth="1"/>
    <col min="3" max="3" width="45.625" style="5" customWidth="1"/>
    <col min="4" max="6" width="9.875" style="5" customWidth="1"/>
    <col min="7" max="7" width="4.25" style="5" customWidth="1"/>
    <col min="8" max="8" width="8.5" style="5" customWidth="1"/>
    <col min="9" max="9" width="45.625" style="5" customWidth="1"/>
    <col min="10" max="11" width="12.625" style="5" customWidth="1"/>
    <col min="12" max="12" width="4.25" style="5" customWidth="1"/>
    <col min="13" max="13" width="29.25" style="5" customWidth="1"/>
    <col min="14" max="16384" width="9" style="5"/>
  </cols>
  <sheetData>
    <row r="1" spans="1:13" ht="54.95" customHeight="1" x14ac:dyDescent="0.2"/>
    <row r="2" spans="1:13" s="1" customFormat="1" ht="22.5" x14ac:dyDescent="0.3">
      <c r="A2" s="572" t="s">
        <v>0</v>
      </c>
      <c r="I2" s="395"/>
    </row>
    <row r="3" spans="1:13" s="1010" customFormat="1" ht="15.75" x14ac:dyDescent="0.25">
      <c r="A3" s="1009" t="s">
        <v>5919</v>
      </c>
      <c r="D3" s="1011"/>
      <c r="I3" s="1012"/>
    </row>
    <row r="4" spans="1:13" ht="15.75" customHeight="1" x14ac:dyDescent="0.2"/>
    <row r="5" spans="1:13" ht="20.25" x14ac:dyDescent="0.3">
      <c r="A5" s="793" t="s">
        <v>3855</v>
      </c>
    </row>
    <row r="6" spans="1:13" ht="15" x14ac:dyDescent="0.2">
      <c r="A6" s="101" t="s">
        <v>4903</v>
      </c>
    </row>
    <row r="7" spans="1:13" ht="14.25" customHeight="1" x14ac:dyDescent="0.2">
      <c r="A7" s="101" t="s">
        <v>4548</v>
      </c>
      <c r="B7" s="101"/>
      <c r="C7" s="101"/>
      <c r="D7" s="101"/>
      <c r="E7" s="101"/>
      <c r="F7" s="101"/>
      <c r="G7" s="101"/>
      <c r="H7" s="101"/>
      <c r="I7" s="101"/>
      <c r="J7" s="101"/>
      <c r="K7" s="101"/>
      <c r="M7" s="1041" t="s">
        <v>4568</v>
      </c>
    </row>
    <row r="8" spans="1:13" ht="14.25" customHeight="1" x14ac:dyDescent="0.2">
      <c r="A8" s="463" t="s">
        <v>4550</v>
      </c>
      <c r="B8" s="101"/>
      <c r="C8" s="101"/>
      <c r="D8" s="101"/>
      <c r="E8" s="101"/>
      <c r="F8" s="101"/>
      <c r="G8" s="101"/>
      <c r="H8" s="101"/>
      <c r="I8" s="101"/>
      <c r="J8" s="101"/>
      <c r="K8" s="101"/>
      <c r="M8" s="1042"/>
    </row>
    <row r="9" spans="1:13" ht="45" customHeight="1" x14ac:dyDescent="0.2">
      <c r="A9" s="1044" t="s">
        <v>4902</v>
      </c>
      <c r="B9" s="1044"/>
      <c r="C9" s="1044"/>
      <c r="D9" s="1044"/>
      <c r="E9" s="1044"/>
      <c r="F9" s="1044"/>
      <c r="G9" s="1044"/>
      <c r="H9" s="1044"/>
      <c r="I9" s="1044"/>
      <c r="J9" s="1044"/>
      <c r="K9" s="1044"/>
      <c r="M9" s="1042"/>
    </row>
    <row r="10" spans="1:13" x14ac:dyDescent="0.2">
      <c r="A10" s="463" t="s">
        <v>4551</v>
      </c>
      <c r="B10" s="369"/>
      <c r="C10" s="369"/>
      <c r="D10" s="369"/>
      <c r="E10" s="369"/>
      <c r="F10" s="369"/>
      <c r="G10" s="369"/>
      <c r="H10" s="369"/>
      <c r="I10" s="369"/>
      <c r="J10" s="369"/>
      <c r="K10" s="369"/>
      <c r="M10" s="1042"/>
    </row>
    <row r="11" spans="1:13" x14ac:dyDescent="0.2">
      <c r="A11" s="463" t="s">
        <v>4549</v>
      </c>
      <c r="B11" s="463"/>
      <c r="C11" s="463"/>
      <c r="D11" s="463"/>
      <c r="E11" s="463"/>
      <c r="F11" s="463"/>
      <c r="G11" s="463"/>
      <c r="H11" s="463"/>
      <c r="I11" s="463"/>
      <c r="J11" s="463"/>
      <c r="K11" s="463"/>
      <c r="M11" s="1042"/>
    </row>
    <row r="12" spans="1:13" x14ac:dyDescent="0.2">
      <c r="A12" s="463" t="s">
        <v>4898</v>
      </c>
      <c r="B12" s="463"/>
      <c r="C12" s="463"/>
      <c r="D12" s="463"/>
      <c r="E12" s="463"/>
      <c r="F12" s="463"/>
      <c r="G12" s="463"/>
      <c r="H12" s="463"/>
      <c r="I12" s="463"/>
      <c r="J12" s="463"/>
      <c r="K12" s="463"/>
      <c r="M12" s="1042"/>
    </row>
    <row r="13" spans="1:13" x14ac:dyDescent="0.2">
      <c r="A13" s="463" t="s">
        <v>4897</v>
      </c>
      <c r="B13" s="463"/>
      <c r="C13" s="463"/>
      <c r="D13" s="463"/>
      <c r="E13" s="463"/>
      <c r="F13" s="463"/>
      <c r="G13" s="463"/>
      <c r="H13" s="463"/>
      <c r="I13" s="463"/>
      <c r="J13" s="463"/>
      <c r="K13" s="463"/>
      <c r="M13" s="1042"/>
    </row>
    <row r="14" spans="1:13" x14ac:dyDescent="0.2">
      <c r="A14" s="463" t="s">
        <v>4899</v>
      </c>
      <c r="B14" s="463"/>
      <c r="C14" s="463"/>
      <c r="D14" s="463"/>
      <c r="E14" s="463"/>
      <c r="F14" s="463"/>
      <c r="G14" s="463"/>
      <c r="H14" s="463"/>
      <c r="I14" s="463"/>
      <c r="J14" s="463"/>
      <c r="K14" s="463"/>
      <c r="M14" s="1042"/>
    </row>
    <row r="15" spans="1:13" x14ac:dyDescent="0.2">
      <c r="A15" s="463" t="s">
        <v>4900</v>
      </c>
      <c r="B15" s="463"/>
      <c r="C15" s="463"/>
      <c r="D15" s="463"/>
      <c r="E15" s="463"/>
      <c r="F15" s="463"/>
      <c r="G15" s="463"/>
      <c r="H15" s="463"/>
      <c r="I15" s="463"/>
      <c r="J15" s="463"/>
      <c r="K15" s="463"/>
      <c r="M15" s="1042"/>
    </row>
    <row r="16" spans="1:13" x14ac:dyDescent="0.2">
      <c r="A16" s="1013"/>
      <c r="B16" s="1013"/>
      <c r="C16" s="1013"/>
      <c r="D16" s="1013"/>
      <c r="E16" s="1013"/>
      <c r="F16" s="1013"/>
      <c r="G16" s="1013"/>
      <c r="H16" s="1013"/>
      <c r="I16" s="1013"/>
      <c r="J16" s="463"/>
      <c r="K16" s="463"/>
      <c r="M16" s="1042"/>
    </row>
    <row r="17" spans="1:13" x14ac:dyDescent="0.2">
      <c r="A17" s="463"/>
      <c r="B17" s="463"/>
      <c r="C17" s="463"/>
      <c r="D17" s="463"/>
      <c r="E17" s="463"/>
      <c r="F17" s="463"/>
      <c r="G17" s="463"/>
      <c r="H17" s="463"/>
      <c r="I17" s="463"/>
      <c r="J17" s="463"/>
      <c r="K17" s="463"/>
      <c r="M17" s="1042"/>
    </row>
    <row r="18" spans="1:13" ht="30.75" customHeight="1" x14ac:dyDescent="0.2">
      <c r="A18" s="1045" t="s">
        <v>4901</v>
      </c>
      <c r="B18" s="1045"/>
      <c r="C18" s="1045"/>
      <c r="D18" s="1045"/>
      <c r="E18" s="1045"/>
      <c r="F18" s="1045"/>
      <c r="G18" s="1045"/>
      <c r="H18" s="1045"/>
      <c r="I18" s="1045"/>
      <c r="J18" s="1045"/>
      <c r="K18" s="1045"/>
      <c r="M18" s="1042"/>
    </row>
    <row r="19" spans="1:13" ht="15" x14ac:dyDescent="0.25">
      <c r="A19" s="136"/>
      <c r="B19" s="636"/>
      <c r="C19" s="136" t="s">
        <v>3138</v>
      </c>
      <c r="D19" s="136"/>
      <c r="E19" s="136"/>
      <c r="F19" s="136"/>
      <c r="G19" s="136"/>
      <c r="H19" s="136"/>
      <c r="I19" s="136"/>
      <c r="J19" s="136"/>
      <c r="K19" s="136"/>
      <c r="M19" s="1042"/>
    </row>
    <row r="20" spans="1:13" ht="15" x14ac:dyDescent="0.25">
      <c r="A20" s="136"/>
      <c r="B20" s="637"/>
      <c r="C20" s="136" t="s">
        <v>3929</v>
      </c>
      <c r="D20" s="136"/>
      <c r="E20" s="136"/>
      <c r="F20" s="136"/>
      <c r="G20" s="136"/>
      <c r="H20" s="136"/>
      <c r="I20" s="136"/>
      <c r="J20" s="136"/>
      <c r="K20" s="136"/>
      <c r="M20" s="1042"/>
    </row>
    <row r="21" spans="1:13" ht="15" x14ac:dyDescent="0.25">
      <c r="A21" s="136"/>
      <c r="B21" s="638"/>
      <c r="C21" s="136" t="s">
        <v>3891</v>
      </c>
      <c r="D21" s="136"/>
      <c r="E21" s="136"/>
      <c r="F21" s="136"/>
      <c r="G21" s="136"/>
      <c r="H21" s="136"/>
      <c r="I21" s="136"/>
      <c r="J21" s="136"/>
      <c r="K21" s="136"/>
      <c r="M21" s="1042"/>
    </row>
    <row r="22" spans="1:13" ht="15" x14ac:dyDescent="0.25">
      <c r="A22" s="136"/>
      <c r="B22" s="639"/>
      <c r="C22" s="136" t="s">
        <v>4170</v>
      </c>
      <c r="D22" s="136"/>
      <c r="E22" s="136"/>
      <c r="F22" s="136"/>
      <c r="G22" s="136"/>
      <c r="H22" s="136"/>
      <c r="I22" s="136"/>
      <c r="J22" s="136"/>
      <c r="K22" s="136"/>
      <c r="M22" s="1042"/>
    </row>
    <row r="23" spans="1:13" x14ac:dyDescent="0.2">
      <c r="M23" s="1042"/>
    </row>
    <row r="24" spans="1:13" ht="20.25" customHeight="1" x14ac:dyDescent="0.3">
      <c r="A24" s="793" t="s">
        <v>4904</v>
      </c>
      <c r="M24" s="1043"/>
    </row>
    <row r="25" spans="1:13" x14ac:dyDescent="0.2">
      <c r="A25" s="463"/>
      <c r="B25" s="7" t="s">
        <v>5321</v>
      </c>
      <c r="M25" s="812"/>
    </row>
    <row r="26" spans="1:13" ht="14.25" customHeight="1" x14ac:dyDescent="0.2">
      <c r="B26" s="1030" t="s">
        <v>5322</v>
      </c>
      <c r="C26" s="1030"/>
    </row>
    <row r="27" spans="1:13" ht="14.25" customHeight="1" x14ac:dyDescent="0.2">
      <c r="B27" s="1030" t="s">
        <v>5323</v>
      </c>
      <c r="C27" s="1030"/>
    </row>
    <row r="28" spans="1:13" ht="14.25" customHeight="1" x14ac:dyDescent="0.2">
      <c r="B28" s="7" t="s">
        <v>4058</v>
      </c>
    </row>
    <row r="29" spans="1:13" ht="14.25" customHeight="1" x14ac:dyDescent="0.2">
      <c r="B29"/>
    </row>
    <row r="30" spans="1:13" ht="14.25" customHeight="1" x14ac:dyDescent="0.2">
      <c r="B30"/>
    </row>
    <row r="31" spans="1:13" ht="15" customHeight="1" x14ac:dyDescent="0.2"/>
    <row r="32" spans="1:13" ht="20.25" customHeight="1" x14ac:dyDescent="0.3">
      <c r="A32" s="793" t="s">
        <v>4706</v>
      </c>
      <c r="B32" s="369"/>
      <c r="C32" s="369"/>
      <c r="D32" s="369"/>
      <c r="E32" s="369"/>
      <c r="F32" s="369"/>
    </row>
    <row r="33" spans="1:7" ht="15" customHeight="1" x14ac:dyDescent="0.2">
      <c r="A33" s="1046" t="s">
        <v>4707</v>
      </c>
      <c r="B33" s="1046"/>
      <c r="C33" s="669" t="s">
        <v>4708</v>
      </c>
      <c r="D33" s="369"/>
      <c r="E33" s="369"/>
      <c r="F33" s="369"/>
    </row>
    <row r="34" spans="1:7" ht="14.25" customHeight="1" x14ac:dyDescent="0.2">
      <c r="A34" s="1040">
        <v>44902</v>
      </c>
      <c r="B34" s="1040"/>
      <c r="C34" s="884" t="s">
        <v>5920</v>
      </c>
      <c r="G34" s="369"/>
    </row>
    <row r="35" spans="1:7" ht="14.25" customHeight="1" x14ac:dyDescent="0.2">
      <c r="A35" s="1040">
        <v>44902</v>
      </c>
      <c r="B35" s="1040"/>
      <c r="C35" s="882" t="s">
        <v>5921</v>
      </c>
      <c r="G35" s="369"/>
    </row>
    <row r="36" spans="1:7" x14ac:dyDescent="0.2">
      <c r="A36" s="1040">
        <v>44914</v>
      </c>
      <c r="B36" s="1040"/>
      <c r="C36" s="5" t="s">
        <v>5925</v>
      </c>
    </row>
    <row r="37" spans="1:7" x14ac:dyDescent="0.2">
      <c r="A37" s="1040"/>
      <c r="B37" s="1040"/>
      <c r="C37" s="882"/>
    </row>
    <row r="38" spans="1:7" x14ac:dyDescent="0.2">
      <c r="A38" s="1040"/>
      <c r="B38" s="1040"/>
      <c r="C38" s="882"/>
    </row>
    <row r="39" spans="1:7" x14ac:dyDescent="0.2">
      <c r="A39" s="1040"/>
      <c r="B39" s="1040"/>
      <c r="C39" s="882"/>
    </row>
    <row r="40" spans="1:7" x14ac:dyDescent="0.2">
      <c r="A40" s="1040"/>
      <c r="B40" s="1040"/>
      <c r="C40" s="882"/>
    </row>
    <row r="41" spans="1:7" x14ac:dyDescent="0.2">
      <c r="A41" s="1040"/>
      <c r="B41" s="1040"/>
      <c r="C41" s="882"/>
    </row>
    <row r="42" spans="1:7" x14ac:dyDescent="0.2">
      <c r="A42" s="1040"/>
      <c r="B42" s="1040"/>
      <c r="C42" s="882"/>
    </row>
    <row r="43" spans="1:7" x14ac:dyDescent="0.2">
      <c r="A43" s="1040"/>
      <c r="B43" s="1040"/>
      <c r="C43" s="882"/>
    </row>
    <row r="44" spans="1:7" x14ac:dyDescent="0.2">
      <c r="A44" s="1040"/>
      <c r="B44" s="1040"/>
    </row>
    <row r="45" spans="1:7" x14ac:dyDescent="0.2">
      <c r="A45" s="1040"/>
      <c r="B45" s="1040"/>
      <c r="C45" s="882"/>
    </row>
    <row r="46" spans="1:7" x14ac:dyDescent="0.2">
      <c r="A46" s="1040"/>
      <c r="B46" s="1040"/>
      <c r="C46" s="882"/>
    </row>
    <row r="47" spans="1:7" x14ac:dyDescent="0.2">
      <c r="A47" s="1040"/>
      <c r="B47" s="1040"/>
      <c r="C47" s="883"/>
    </row>
    <row r="48" spans="1:7" x14ac:dyDescent="0.2">
      <c r="A48" s="1040"/>
      <c r="B48" s="1040"/>
      <c r="C48" s="882"/>
    </row>
    <row r="49" spans="1:3" x14ac:dyDescent="0.2">
      <c r="A49" s="1040"/>
      <c r="B49" s="1040"/>
      <c r="C49" s="882"/>
    </row>
    <row r="50" spans="1:3" x14ac:dyDescent="0.2">
      <c r="A50" s="1040"/>
      <c r="B50" s="1040"/>
      <c r="C50" s="882"/>
    </row>
    <row r="51" spans="1:3" x14ac:dyDescent="0.2">
      <c r="A51" s="1040"/>
      <c r="B51" s="1040"/>
      <c r="C51" s="882"/>
    </row>
    <row r="52" spans="1:3" x14ac:dyDescent="0.2">
      <c r="A52" s="1040"/>
      <c r="B52" s="1040"/>
      <c r="C52" s="882"/>
    </row>
    <row r="53" spans="1:3" x14ac:dyDescent="0.2">
      <c r="A53" s="1040"/>
      <c r="B53" s="1040"/>
      <c r="C53" s="882"/>
    </row>
    <row r="54" spans="1:3" x14ac:dyDescent="0.2">
      <c r="A54" s="1040"/>
      <c r="B54" s="1040"/>
      <c r="C54" s="882"/>
    </row>
    <row r="55" spans="1:3" x14ac:dyDescent="0.2">
      <c r="A55" s="1040"/>
      <c r="B55" s="1040"/>
      <c r="C55" s="887"/>
    </row>
    <row r="56" spans="1:3" x14ac:dyDescent="0.2">
      <c r="A56" s="1040"/>
      <c r="B56" s="1040"/>
      <c r="C56" s="882"/>
    </row>
    <row r="57" spans="1:3" x14ac:dyDescent="0.2">
      <c r="A57" s="1039"/>
      <c r="B57" s="1039"/>
    </row>
    <row r="58" spans="1:3" x14ac:dyDescent="0.2">
      <c r="A58" s="370"/>
    </row>
    <row r="59" spans="1:3" x14ac:dyDescent="0.2">
      <c r="A59" s="370"/>
    </row>
    <row r="60" spans="1:3" x14ac:dyDescent="0.2">
      <c r="A60" s="370"/>
    </row>
    <row r="61" spans="1:3" x14ac:dyDescent="0.2">
      <c r="A61" s="370"/>
    </row>
    <row r="62" spans="1:3" x14ac:dyDescent="0.2">
      <c r="A62" s="370"/>
    </row>
    <row r="63" spans="1:3" x14ac:dyDescent="0.2">
      <c r="A63" s="370"/>
    </row>
    <row r="64" spans="1:3" x14ac:dyDescent="0.2">
      <c r="A64" s="370"/>
    </row>
    <row r="65" spans="1:1" x14ac:dyDescent="0.2">
      <c r="A65" s="370"/>
    </row>
    <row r="66" spans="1:1" x14ac:dyDescent="0.2">
      <c r="A66" s="370"/>
    </row>
    <row r="67" spans="1:1" x14ac:dyDescent="0.2">
      <c r="A67" s="370"/>
    </row>
    <row r="68" spans="1:1" x14ac:dyDescent="0.2">
      <c r="A68" s="370"/>
    </row>
    <row r="69" spans="1:1" x14ac:dyDescent="0.2">
      <c r="A69" s="370"/>
    </row>
    <row r="70" spans="1:1" x14ac:dyDescent="0.2">
      <c r="A70" s="370"/>
    </row>
    <row r="71" spans="1:1" x14ac:dyDescent="0.2">
      <c r="A71" s="370"/>
    </row>
    <row r="72" spans="1:1" x14ac:dyDescent="0.2">
      <c r="A72" s="370"/>
    </row>
    <row r="73" spans="1:1" x14ac:dyDescent="0.2">
      <c r="A73" s="370"/>
    </row>
    <row r="74" spans="1:1" x14ac:dyDescent="0.2">
      <c r="A74" s="370"/>
    </row>
    <row r="75" spans="1:1" x14ac:dyDescent="0.2">
      <c r="A75" s="370"/>
    </row>
    <row r="76" spans="1:1" x14ac:dyDescent="0.2">
      <c r="A76" s="370"/>
    </row>
    <row r="77" spans="1:1" x14ac:dyDescent="0.2">
      <c r="A77" s="370"/>
    </row>
    <row r="78" spans="1:1" x14ac:dyDescent="0.2">
      <c r="A78" s="370"/>
    </row>
    <row r="79" spans="1:1" x14ac:dyDescent="0.2">
      <c r="A79" s="370"/>
    </row>
    <row r="80" spans="1:1" x14ac:dyDescent="0.2">
      <c r="A80" s="370"/>
    </row>
    <row r="81" spans="1:1" x14ac:dyDescent="0.2">
      <c r="A81" s="370"/>
    </row>
    <row r="82" spans="1:1" x14ac:dyDescent="0.2">
      <c r="A82" s="370"/>
    </row>
    <row r="83" spans="1:1" x14ac:dyDescent="0.2">
      <c r="A83" s="370"/>
    </row>
    <row r="84" spans="1:1" x14ac:dyDescent="0.2">
      <c r="A84" s="370"/>
    </row>
    <row r="85" spans="1:1" x14ac:dyDescent="0.2">
      <c r="A85" s="370"/>
    </row>
  </sheetData>
  <sheetProtection algorithmName="SHA-512" hashValue="8zyR4A3ahlgkVCVnuO0MbO7bieMQlTowXL3gxBY2jxXpEXpOpThezgZlmTO9p5sFi8cJx0YrP0FEqI9jLTwZuA==" saltValue="yfq6O+XJwLtU35Fr2o/KvA==" spinCount="100000" sheet="1" objects="1" scenarios="1"/>
  <mergeCells count="28">
    <mergeCell ref="A54:B54"/>
    <mergeCell ref="A55:B55"/>
    <mergeCell ref="A47:B47"/>
    <mergeCell ref="A48:B48"/>
    <mergeCell ref="A49:B49"/>
    <mergeCell ref="A50:B50"/>
    <mergeCell ref="A51:B51"/>
    <mergeCell ref="A43:B43"/>
    <mergeCell ref="A44:B44"/>
    <mergeCell ref="A45:B45"/>
    <mergeCell ref="A52:B52"/>
    <mergeCell ref="A53:B53"/>
    <mergeCell ref="A57:B57"/>
    <mergeCell ref="A38:B38"/>
    <mergeCell ref="M7:M24"/>
    <mergeCell ref="A9:K9"/>
    <mergeCell ref="A18:K18"/>
    <mergeCell ref="A37:B37"/>
    <mergeCell ref="A35:B35"/>
    <mergeCell ref="A36:B36"/>
    <mergeCell ref="A34:B34"/>
    <mergeCell ref="A33:B33"/>
    <mergeCell ref="A56:B56"/>
    <mergeCell ref="A39:B39"/>
    <mergeCell ref="A40:B40"/>
    <mergeCell ref="A41:B41"/>
    <mergeCell ref="A42:B42"/>
    <mergeCell ref="A46:B46"/>
  </mergeCells>
  <hyperlinks>
    <hyperlink ref="B28" r:id="rId1" xr:uid="{00000000-0004-0000-0000-000000000000}"/>
    <hyperlink ref="B25" r:id="rId2" xr:uid="{00000000-0004-0000-0000-000001000000}"/>
    <hyperlink ref="B26" r:id="rId3" xr:uid="{00000000-0004-0000-0000-000002000000}"/>
    <hyperlink ref="B27" r:id="rId4" xr:uid="{00000000-0004-0000-0000-000003000000}"/>
  </hyperlinks>
  <pageMargins left="0.7" right="0.7" top="0.75" bottom="0.75" header="0.3" footer="0.3"/>
  <pageSetup scale="39" orientation="portrait" r:id="rId5"/>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L115"/>
  <sheetViews>
    <sheetView showGridLines="0" zoomScale="85" zoomScaleNormal="85" workbookViewId="0">
      <selection activeCell="A15" sqref="A15:K15"/>
    </sheetView>
  </sheetViews>
  <sheetFormatPr defaultColWidth="9" defaultRowHeight="14.25" x14ac:dyDescent="0.2"/>
  <cols>
    <col min="1" max="1" width="3.75" style="5" customWidth="1"/>
    <col min="2" max="2" width="8.625" style="5" customWidth="1"/>
    <col min="3" max="3" width="45.625" style="5" customWidth="1"/>
    <col min="4" max="6" width="10.625" style="5" customWidth="1"/>
    <col min="7" max="7" width="9" style="5" customWidth="1"/>
    <col min="8" max="8" width="8.625" style="5" customWidth="1"/>
    <col min="9" max="9" width="45.625" style="5" customWidth="1"/>
    <col min="10" max="11" width="10.625" style="5" customWidth="1"/>
    <col min="12" max="12" width="9" style="5" customWidth="1"/>
    <col min="13" max="16384" width="9" style="5"/>
  </cols>
  <sheetData>
    <row r="1" spans="1:11" ht="54.95" customHeight="1" x14ac:dyDescent="0.2"/>
    <row r="2" spans="1:11" s="1" customFormat="1" ht="22.5" x14ac:dyDescent="0.3">
      <c r="A2" s="572" t="s">
        <v>3856</v>
      </c>
      <c r="H2" s="395"/>
    </row>
    <row r="3" spans="1:11" s="2" customFormat="1" ht="15.75" customHeight="1" x14ac:dyDescent="0.25">
      <c r="A3" s="573" t="s">
        <v>4881</v>
      </c>
      <c r="D3" s="38"/>
      <c r="H3" s="797"/>
    </row>
    <row r="5" spans="1:11" ht="15" x14ac:dyDescent="0.25">
      <c r="A5" s="466" t="s">
        <v>5324</v>
      </c>
    </row>
    <row r="6" spans="1:11" x14ac:dyDescent="0.2">
      <c r="A6" s="794"/>
    </row>
    <row r="7" spans="1:11" ht="18" customHeight="1" x14ac:dyDescent="0.25">
      <c r="A7" s="136" t="s">
        <v>4883</v>
      </c>
    </row>
    <row r="8" spans="1:11" x14ac:dyDescent="0.2">
      <c r="A8" s="5" t="s">
        <v>4543</v>
      </c>
    </row>
    <row r="9" spans="1:11" x14ac:dyDescent="0.2">
      <c r="A9" s="5" t="s">
        <v>4545</v>
      </c>
    </row>
    <row r="10" spans="1:11" x14ac:dyDescent="0.2">
      <c r="A10" s="5" t="s">
        <v>4546</v>
      </c>
    </row>
    <row r="11" spans="1:11" x14ac:dyDescent="0.2">
      <c r="A11" s="5" t="s">
        <v>4544</v>
      </c>
    </row>
    <row r="12" spans="1:11" x14ac:dyDescent="0.2">
      <c r="A12" s="5" t="s">
        <v>4547</v>
      </c>
    </row>
    <row r="14" spans="1:11" ht="18" customHeight="1" x14ac:dyDescent="0.25">
      <c r="A14" s="136" t="s">
        <v>4882</v>
      </c>
    </row>
    <row r="15" spans="1:11" ht="29.25" customHeight="1" x14ac:dyDescent="0.2">
      <c r="A15" s="1044" t="s">
        <v>5325</v>
      </c>
      <c r="B15" s="1044"/>
      <c r="C15" s="1044"/>
      <c r="D15" s="1044"/>
      <c r="E15" s="1044"/>
      <c r="F15" s="1044"/>
      <c r="G15" s="1044"/>
      <c r="H15" s="1044"/>
      <c r="I15" s="1044"/>
      <c r="J15" s="1044"/>
      <c r="K15" s="1044"/>
    </row>
    <row r="16" spans="1:11" x14ac:dyDescent="0.2">
      <c r="A16" s="5" t="s">
        <v>5326</v>
      </c>
    </row>
    <row r="17" spans="1:12" ht="33" customHeight="1" x14ac:dyDescent="0.2">
      <c r="A17" s="1044" t="s">
        <v>5091</v>
      </c>
      <c r="B17" s="1044"/>
      <c r="C17" s="1044"/>
      <c r="D17" s="1044"/>
      <c r="E17" s="1044"/>
      <c r="F17" s="1044"/>
      <c r="G17" s="1044"/>
      <c r="H17" s="1044"/>
      <c r="I17" s="1044"/>
      <c r="J17" s="1044"/>
      <c r="K17" s="1044"/>
    </row>
    <row r="19" spans="1:12" ht="15" x14ac:dyDescent="0.25">
      <c r="A19" s="136" t="s">
        <v>4908</v>
      </c>
    </row>
    <row r="20" spans="1:12" ht="15" x14ac:dyDescent="0.25">
      <c r="B20" s="1053" t="s">
        <v>4906</v>
      </c>
      <c r="C20" s="1053"/>
    </row>
    <row r="21" spans="1:12" ht="15" x14ac:dyDescent="0.25">
      <c r="B21" s="1053" t="s">
        <v>4905</v>
      </c>
      <c r="C21" s="1053"/>
    </row>
    <row r="22" spans="1:12" ht="15" x14ac:dyDescent="0.25">
      <c r="B22" s="1053" t="s">
        <v>4907</v>
      </c>
      <c r="C22" s="1053"/>
    </row>
    <row r="23" spans="1:12" ht="15" x14ac:dyDescent="0.25">
      <c r="A23" s="136"/>
      <c r="B23" s="942" t="s">
        <v>5085</v>
      </c>
      <c r="C23" s="136"/>
    </row>
    <row r="24" spans="1:12" x14ac:dyDescent="0.2">
      <c r="B24"/>
    </row>
    <row r="26" spans="1:12" ht="24" customHeight="1" x14ac:dyDescent="0.2">
      <c r="B26" s="1058" t="s">
        <v>4895</v>
      </c>
      <c r="C26" s="1058"/>
      <c r="D26" s="1058"/>
      <c r="E26" s="1058"/>
      <c r="F26" s="1058"/>
      <c r="H26" s="1064" t="s">
        <v>5084</v>
      </c>
      <c r="I26" s="1064"/>
      <c r="J26" s="1064"/>
      <c r="K26" s="1064"/>
      <c r="L26" s="1064"/>
    </row>
    <row r="27" spans="1:12" ht="18" customHeight="1" x14ac:dyDescent="0.2">
      <c r="B27" s="1057" t="s">
        <v>4892</v>
      </c>
      <c r="C27" s="1057"/>
      <c r="D27" s="1057"/>
      <c r="E27" s="1057"/>
      <c r="F27" s="1057"/>
      <c r="H27" s="1065" t="s">
        <v>4892</v>
      </c>
      <c r="I27" s="1065"/>
      <c r="J27" s="1065"/>
      <c r="K27" s="1065"/>
      <c r="L27" s="1065"/>
    </row>
    <row r="28" spans="1:12" ht="15" x14ac:dyDescent="0.25">
      <c r="B28" s="1054"/>
      <c r="C28" s="1055"/>
      <c r="D28" s="1056" t="s">
        <v>4034</v>
      </c>
      <c r="E28" s="1056"/>
      <c r="F28" s="1056"/>
      <c r="H28" s="1054"/>
      <c r="I28" s="1055"/>
      <c r="J28" s="1056" t="s">
        <v>4034</v>
      </c>
      <c r="K28" s="1056"/>
      <c r="L28" s="1056"/>
    </row>
    <row r="29" spans="1:12" ht="14.25" customHeight="1" x14ac:dyDescent="0.25">
      <c r="B29" s="807" t="s">
        <v>4033</v>
      </c>
      <c r="C29" s="806" t="s">
        <v>4365</v>
      </c>
      <c r="D29" s="803" t="s">
        <v>4005</v>
      </c>
      <c r="E29" s="804" t="s">
        <v>4006</v>
      </c>
      <c r="F29" s="805">
        <v>8609</v>
      </c>
      <c r="H29" s="807" t="s">
        <v>4033</v>
      </c>
      <c r="I29" s="806" t="s">
        <v>4365</v>
      </c>
      <c r="J29" s="803" t="s">
        <v>4005</v>
      </c>
      <c r="K29" s="804" t="s">
        <v>4006</v>
      </c>
      <c r="L29" s="805">
        <v>8609</v>
      </c>
    </row>
    <row r="30" spans="1:12" ht="14.25" customHeight="1" x14ac:dyDescent="0.2">
      <c r="B30" s="464">
        <v>1</v>
      </c>
      <c r="C30" s="798" t="s">
        <v>4539</v>
      </c>
      <c r="D30" s="809" t="s">
        <v>4007</v>
      </c>
      <c r="E30" s="810" t="s">
        <v>4007</v>
      </c>
      <c r="F30" s="800"/>
      <c r="H30" s="464">
        <v>1</v>
      </c>
      <c r="I30" s="798" t="s">
        <v>4539</v>
      </c>
      <c r="J30" s="809" t="s">
        <v>4007</v>
      </c>
      <c r="K30" s="810" t="s">
        <v>4007</v>
      </c>
      <c r="L30" s="800"/>
    </row>
    <row r="31" spans="1:12" ht="14.25" customHeight="1" x14ac:dyDescent="0.2">
      <c r="B31" s="464">
        <v>2</v>
      </c>
      <c r="C31" s="798" t="s">
        <v>4008</v>
      </c>
      <c r="D31" s="809" t="s">
        <v>4007</v>
      </c>
      <c r="E31" s="810"/>
      <c r="F31" s="800"/>
      <c r="H31" s="464">
        <v>2</v>
      </c>
      <c r="I31" s="798" t="s">
        <v>4008</v>
      </c>
      <c r="J31" s="809" t="s">
        <v>4007</v>
      </c>
      <c r="K31" s="810"/>
      <c r="L31" s="800"/>
    </row>
    <row r="32" spans="1:12" ht="14.25" customHeight="1" x14ac:dyDescent="0.2">
      <c r="B32" s="464">
        <v>3</v>
      </c>
      <c r="C32" s="798" t="s">
        <v>4896</v>
      </c>
      <c r="D32" s="809" t="s">
        <v>4007</v>
      </c>
      <c r="E32" s="810" t="s">
        <v>4007</v>
      </c>
      <c r="F32" s="800"/>
      <c r="H32" s="464">
        <v>3</v>
      </c>
      <c r="I32" s="798" t="s">
        <v>4894</v>
      </c>
      <c r="J32" s="809" t="s">
        <v>4007</v>
      </c>
      <c r="K32" s="810" t="s">
        <v>4007</v>
      </c>
      <c r="L32" s="800"/>
    </row>
    <row r="33" spans="2:12" ht="14.25" customHeight="1" x14ac:dyDescent="0.2">
      <c r="B33" s="464">
        <v>4</v>
      </c>
      <c r="C33" s="798" t="s">
        <v>4009</v>
      </c>
      <c r="D33" s="809"/>
      <c r="E33" s="810" t="s">
        <v>4007</v>
      </c>
      <c r="F33" s="800"/>
      <c r="H33" s="464">
        <v>4</v>
      </c>
      <c r="I33" s="798" t="s">
        <v>5086</v>
      </c>
      <c r="J33" s="809" t="s">
        <v>4007</v>
      </c>
      <c r="K33" s="810"/>
      <c r="L33" s="800"/>
    </row>
    <row r="34" spans="2:12" ht="14.25" customHeight="1" x14ac:dyDescent="0.2">
      <c r="B34" s="464">
        <v>5</v>
      </c>
      <c r="C34" s="798" t="s">
        <v>4010</v>
      </c>
      <c r="D34" s="809"/>
      <c r="E34" s="810" t="s">
        <v>4007</v>
      </c>
      <c r="F34" s="800"/>
      <c r="H34" s="464">
        <v>5</v>
      </c>
      <c r="I34" s="798" t="s">
        <v>5087</v>
      </c>
      <c r="J34" s="809" t="s">
        <v>4007</v>
      </c>
      <c r="K34" s="810"/>
      <c r="L34" s="800"/>
    </row>
    <row r="35" spans="2:12" ht="14.25" customHeight="1" x14ac:dyDescent="0.2">
      <c r="B35" s="464">
        <v>6</v>
      </c>
      <c r="C35" s="798" t="s">
        <v>4541</v>
      </c>
      <c r="D35" s="809" t="s">
        <v>4007</v>
      </c>
      <c r="E35" s="810"/>
      <c r="F35" s="800"/>
      <c r="H35" s="464">
        <v>6</v>
      </c>
      <c r="I35" s="798" t="s">
        <v>4009</v>
      </c>
      <c r="J35" s="809"/>
      <c r="K35" s="810" t="s">
        <v>4007</v>
      </c>
      <c r="L35" s="800"/>
    </row>
    <row r="36" spans="2:12" ht="14.25" customHeight="1" x14ac:dyDescent="0.2">
      <c r="B36" s="464">
        <v>7</v>
      </c>
      <c r="C36" s="798" t="s">
        <v>4011</v>
      </c>
      <c r="D36" s="809" t="s">
        <v>4007</v>
      </c>
      <c r="E36" s="810" t="s">
        <v>4007</v>
      </c>
      <c r="F36" s="800"/>
      <c r="H36" s="464">
        <v>7</v>
      </c>
      <c r="I36" s="798" t="s">
        <v>5088</v>
      </c>
      <c r="J36" s="809" t="s">
        <v>4007</v>
      </c>
      <c r="K36" s="810"/>
      <c r="L36" s="800"/>
    </row>
    <row r="37" spans="2:12" ht="14.25" customHeight="1" x14ac:dyDescent="0.2">
      <c r="B37" s="464">
        <v>8</v>
      </c>
      <c r="C37" s="798" t="s">
        <v>4366</v>
      </c>
      <c r="D37" s="809"/>
      <c r="E37" s="810" t="s">
        <v>4007</v>
      </c>
      <c r="F37" s="800"/>
      <c r="H37" s="464">
        <v>8</v>
      </c>
      <c r="I37" s="798" t="s">
        <v>4010</v>
      </c>
      <c r="J37" s="809"/>
      <c r="K37" s="810" t="s">
        <v>4007</v>
      </c>
      <c r="L37" s="800"/>
    </row>
    <row r="38" spans="2:12" ht="14.25" customHeight="1" x14ac:dyDescent="0.2">
      <c r="B38" s="464">
        <v>9</v>
      </c>
      <c r="C38" s="820" t="s">
        <v>4013</v>
      </c>
      <c r="D38" s="809" t="s">
        <v>4007</v>
      </c>
      <c r="E38" s="810"/>
      <c r="F38" s="800"/>
      <c r="H38" s="464">
        <v>9</v>
      </c>
      <c r="I38" s="798" t="s">
        <v>5089</v>
      </c>
      <c r="J38" s="809" t="s">
        <v>4007</v>
      </c>
      <c r="K38" s="810"/>
      <c r="L38" s="800"/>
    </row>
    <row r="39" spans="2:12" ht="14.25" customHeight="1" x14ac:dyDescent="0.2">
      <c r="B39" s="464">
        <v>10</v>
      </c>
      <c r="C39" s="820" t="s">
        <v>4012</v>
      </c>
      <c r="D39" s="809" t="s">
        <v>4007</v>
      </c>
      <c r="E39" s="810"/>
      <c r="F39" s="800"/>
      <c r="H39" s="464">
        <v>10</v>
      </c>
      <c r="I39" s="798" t="s">
        <v>4011</v>
      </c>
      <c r="J39" s="809" t="s">
        <v>4007</v>
      </c>
      <c r="K39" s="810" t="s">
        <v>4007</v>
      </c>
      <c r="L39" s="800"/>
    </row>
    <row r="40" spans="2:12" ht="14.25" customHeight="1" x14ac:dyDescent="0.2">
      <c r="B40" s="464">
        <v>11</v>
      </c>
      <c r="C40" s="798" t="s">
        <v>4014</v>
      </c>
      <c r="D40" s="809" t="s">
        <v>4007</v>
      </c>
      <c r="E40" s="811" t="s">
        <v>4363</v>
      </c>
      <c r="F40" s="800"/>
      <c r="H40" s="464">
        <v>11</v>
      </c>
      <c r="I40" s="798" t="s">
        <v>4366</v>
      </c>
      <c r="J40" s="809"/>
      <c r="K40" s="810" t="s">
        <v>4007</v>
      </c>
      <c r="L40" s="800"/>
    </row>
    <row r="41" spans="2:12" ht="14.25" customHeight="1" x14ac:dyDescent="0.2">
      <c r="B41" s="464">
        <v>12</v>
      </c>
      <c r="C41" s="798" t="s">
        <v>4015</v>
      </c>
      <c r="D41" s="809" t="s">
        <v>4007</v>
      </c>
      <c r="E41" s="810"/>
      <c r="F41" s="800"/>
      <c r="H41" s="464">
        <v>12</v>
      </c>
      <c r="I41" s="798" t="s">
        <v>4013</v>
      </c>
      <c r="J41" s="809" t="s">
        <v>4007</v>
      </c>
      <c r="K41" s="810"/>
      <c r="L41" s="800"/>
    </row>
    <row r="42" spans="2:12" ht="14.25" customHeight="1" x14ac:dyDescent="0.2">
      <c r="B42" s="464">
        <v>13</v>
      </c>
      <c r="C42" s="798" t="s">
        <v>4016</v>
      </c>
      <c r="D42" s="809"/>
      <c r="E42" s="810" t="s">
        <v>4007</v>
      </c>
      <c r="F42" s="800"/>
      <c r="H42" s="464">
        <v>13</v>
      </c>
      <c r="I42" s="798" t="s">
        <v>4012</v>
      </c>
      <c r="J42" s="809" t="s">
        <v>4007</v>
      </c>
      <c r="K42" s="810"/>
      <c r="L42" s="800"/>
    </row>
    <row r="43" spans="2:12" ht="14.25" customHeight="1" x14ac:dyDescent="0.2">
      <c r="B43" s="464">
        <v>14</v>
      </c>
      <c r="C43" s="798" t="s">
        <v>4017</v>
      </c>
      <c r="D43" s="809"/>
      <c r="E43" s="810"/>
      <c r="F43" s="800" t="s">
        <v>4007</v>
      </c>
      <c r="H43" s="464">
        <v>14</v>
      </c>
      <c r="I43" s="798" t="s">
        <v>4014</v>
      </c>
      <c r="J43" s="809" t="s">
        <v>4007</v>
      </c>
      <c r="K43" s="811" t="s">
        <v>4363</v>
      </c>
      <c r="L43" s="800"/>
    </row>
    <row r="44" spans="2:12" ht="14.25" customHeight="1" x14ac:dyDescent="0.2">
      <c r="B44" s="464">
        <v>15</v>
      </c>
      <c r="C44" s="798" t="s">
        <v>4542</v>
      </c>
      <c r="D44" s="809" t="s">
        <v>4007</v>
      </c>
      <c r="E44" s="810" t="s">
        <v>4007</v>
      </c>
      <c r="F44" s="800"/>
      <c r="H44" s="464">
        <v>15</v>
      </c>
      <c r="I44" s="798" t="s">
        <v>4015</v>
      </c>
      <c r="J44" s="809" t="s">
        <v>4007</v>
      </c>
      <c r="K44" s="811"/>
      <c r="L44" s="800"/>
    </row>
    <row r="45" spans="2:12" ht="14.25" customHeight="1" x14ac:dyDescent="0.2">
      <c r="B45" s="464">
        <v>16</v>
      </c>
      <c r="C45" s="798" t="s">
        <v>5173</v>
      </c>
      <c r="D45" s="809"/>
      <c r="E45" s="810" t="s">
        <v>4007</v>
      </c>
      <c r="F45" s="800"/>
      <c r="H45" s="464">
        <v>16</v>
      </c>
      <c r="I45" s="798" t="s">
        <v>4016</v>
      </c>
      <c r="J45" s="809"/>
      <c r="K45" s="810"/>
      <c r="L45" s="800" t="s">
        <v>4007</v>
      </c>
    </row>
    <row r="46" spans="2:12" ht="14.25" customHeight="1" x14ac:dyDescent="0.2">
      <c r="B46" s="464">
        <v>17</v>
      </c>
      <c r="C46" s="798" t="s">
        <v>4359</v>
      </c>
      <c r="D46" s="809"/>
      <c r="E46" s="810" t="s">
        <v>4007</v>
      </c>
      <c r="F46" s="800"/>
      <c r="H46" s="464">
        <v>17</v>
      </c>
      <c r="I46" s="798" t="s">
        <v>4017</v>
      </c>
      <c r="J46" s="809"/>
      <c r="K46" s="810"/>
      <c r="L46" s="800" t="s">
        <v>4007</v>
      </c>
    </row>
    <row r="47" spans="2:12" ht="14.25" customHeight="1" x14ac:dyDescent="0.2">
      <c r="B47" s="464">
        <v>18</v>
      </c>
      <c r="C47" s="798" t="s">
        <v>4360</v>
      </c>
      <c r="D47" s="809"/>
      <c r="E47" s="810"/>
      <c r="F47" s="800" t="s">
        <v>4007</v>
      </c>
      <c r="H47" s="464">
        <v>18</v>
      </c>
      <c r="I47" s="798" t="s">
        <v>5173</v>
      </c>
      <c r="J47" s="809"/>
      <c r="K47" s="810" t="s">
        <v>4007</v>
      </c>
      <c r="L47" s="800"/>
    </row>
    <row r="48" spans="2:12" ht="14.25" customHeight="1" x14ac:dyDescent="0.2">
      <c r="B48" s="464">
        <v>19</v>
      </c>
      <c r="C48" s="798" t="s">
        <v>4019</v>
      </c>
      <c r="D48" s="809"/>
      <c r="E48" s="810" t="s">
        <v>4007</v>
      </c>
      <c r="F48" s="800"/>
      <c r="H48" s="464">
        <v>19</v>
      </c>
      <c r="I48" s="798" t="s">
        <v>4359</v>
      </c>
      <c r="J48" s="809"/>
      <c r="K48" s="810" t="s">
        <v>4007</v>
      </c>
      <c r="L48" s="800"/>
    </row>
    <row r="49" spans="2:12" ht="14.25" customHeight="1" x14ac:dyDescent="0.2">
      <c r="B49" s="464">
        <v>20</v>
      </c>
      <c r="C49" s="798" t="s">
        <v>4361</v>
      </c>
      <c r="D49" s="809"/>
      <c r="E49" s="810" t="s">
        <v>4007</v>
      </c>
      <c r="F49" s="800"/>
      <c r="H49" s="464">
        <v>20</v>
      </c>
      <c r="I49" s="798" t="s">
        <v>4360</v>
      </c>
      <c r="J49" s="809"/>
      <c r="K49" s="810"/>
      <c r="L49" s="800" t="s">
        <v>4007</v>
      </c>
    </row>
    <row r="50" spans="2:12" ht="14.25" customHeight="1" x14ac:dyDescent="0.2">
      <c r="B50" s="464">
        <v>21</v>
      </c>
      <c r="C50" s="798" t="s">
        <v>4020</v>
      </c>
      <c r="D50" s="809" t="s">
        <v>4007</v>
      </c>
      <c r="E50" s="810"/>
      <c r="F50" s="800"/>
      <c r="H50" s="464">
        <v>21</v>
      </c>
      <c r="I50" s="798" t="s">
        <v>4019</v>
      </c>
      <c r="J50" s="809"/>
      <c r="K50" s="810" t="s">
        <v>4007</v>
      </c>
      <c r="L50" s="800"/>
    </row>
    <row r="51" spans="2:12" ht="14.25" customHeight="1" x14ac:dyDescent="0.2">
      <c r="B51" s="464">
        <v>22</v>
      </c>
      <c r="C51" s="798" t="s">
        <v>4021</v>
      </c>
      <c r="D51" s="809"/>
      <c r="E51" s="810" t="s">
        <v>4007</v>
      </c>
      <c r="F51" s="800"/>
      <c r="H51" s="464">
        <v>22</v>
      </c>
      <c r="I51" s="798" t="s">
        <v>4361</v>
      </c>
      <c r="J51" s="809"/>
      <c r="K51" s="810" t="s">
        <v>4007</v>
      </c>
      <c r="L51" s="800"/>
    </row>
    <row r="52" spans="2:12" ht="14.25" customHeight="1" x14ac:dyDescent="0.2">
      <c r="B52" s="464">
        <v>23</v>
      </c>
      <c r="C52" s="798" t="s">
        <v>4022</v>
      </c>
      <c r="D52" s="809"/>
      <c r="E52" s="810"/>
      <c r="F52" s="800" t="s">
        <v>4007</v>
      </c>
      <c r="H52" s="464">
        <v>23</v>
      </c>
      <c r="I52" s="798" t="s">
        <v>4020</v>
      </c>
      <c r="J52" s="809" t="s">
        <v>4007</v>
      </c>
      <c r="K52" s="810"/>
      <c r="L52" s="800"/>
    </row>
    <row r="53" spans="2:12" ht="14.25" customHeight="1" x14ac:dyDescent="0.2">
      <c r="B53" s="464">
        <v>24</v>
      </c>
      <c r="C53" s="798" t="s">
        <v>4023</v>
      </c>
      <c r="D53" s="809" t="s">
        <v>4007</v>
      </c>
      <c r="E53" s="810"/>
      <c r="F53" s="800"/>
      <c r="H53" s="464">
        <v>24</v>
      </c>
      <c r="I53" s="798" t="s">
        <v>4032</v>
      </c>
      <c r="J53" s="809"/>
      <c r="K53" s="810" t="s">
        <v>4007</v>
      </c>
      <c r="L53" s="800"/>
    </row>
    <row r="54" spans="2:12" ht="14.25" customHeight="1" x14ac:dyDescent="0.2">
      <c r="B54" s="464">
        <v>25</v>
      </c>
      <c r="C54" s="798" t="s">
        <v>4364</v>
      </c>
      <c r="D54" s="809"/>
      <c r="E54" s="810" t="s">
        <v>4007</v>
      </c>
      <c r="F54" s="800"/>
      <c r="H54" s="464">
        <v>25</v>
      </c>
      <c r="I54" s="798" t="s">
        <v>4021</v>
      </c>
      <c r="J54" s="809"/>
      <c r="K54" s="810" t="s">
        <v>4007</v>
      </c>
      <c r="L54" s="800"/>
    </row>
    <row r="55" spans="2:12" ht="14.25" customHeight="1" x14ac:dyDescent="0.2">
      <c r="B55" s="464">
        <v>26</v>
      </c>
      <c r="C55" s="798" t="s">
        <v>4362</v>
      </c>
      <c r="D55" s="809" t="s">
        <v>4007</v>
      </c>
      <c r="E55" s="810"/>
      <c r="F55" s="800"/>
      <c r="H55" s="464">
        <v>26</v>
      </c>
      <c r="I55" s="798" t="s">
        <v>4022</v>
      </c>
      <c r="J55" s="809"/>
      <c r="K55" s="810"/>
      <c r="L55" s="800" t="s">
        <v>4007</v>
      </c>
    </row>
    <row r="56" spans="2:12" ht="14.25" customHeight="1" x14ac:dyDescent="0.2">
      <c r="B56" s="464">
        <v>27</v>
      </c>
      <c r="C56" s="798" t="s">
        <v>4213</v>
      </c>
      <c r="D56" s="809" t="s">
        <v>4007</v>
      </c>
      <c r="E56" s="810"/>
      <c r="F56" s="800"/>
      <c r="H56" s="464">
        <v>27</v>
      </c>
      <c r="I56" s="798" t="s">
        <v>4023</v>
      </c>
      <c r="J56" s="809" t="s">
        <v>4007</v>
      </c>
      <c r="K56" s="810"/>
      <c r="L56" s="800"/>
    </row>
    <row r="57" spans="2:12" ht="14.25" customHeight="1" x14ac:dyDescent="0.2">
      <c r="B57" s="464">
        <v>28</v>
      </c>
      <c r="C57" s="798" t="s">
        <v>4024</v>
      </c>
      <c r="D57" s="809" t="s">
        <v>4007</v>
      </c>
      <c r="E57" s="811" t="s">
        <v>4363</v>
      </c>
      <c r="F57" s="800"/>
      <c r="H57" s="464">
        <v>28</v>
      </c>
      <c r="I57" s="798" t="s">
        <v>4364</v>
      </c>
      <c r="J57" s="809"/>
      <c r="K57" s="810" t="s">
        <v>4007</v>
      </c>
      <c r="L57" s="800"/>
    </row>
    <row r="58" spans="2:12" ht="14.25" customHeight="1" x14ac:dyDescent="0.2">
      <c r="B58" s="464">
        <v>29</v>
      </c>
      <c r="C58" s="798" t="s">
        <v>4025</v>
      </c>
      <c r="D58" s="809"/>
      <c r="E58" s="810" t="s">
        <v>4007</v>
      </c>
      <c r="F58" s="800"/>
      <c r="H58" s="464">
        <v>29</v>
      </c>
      <c r="I58" s="798" t="s">
        <v>4362</v>
      </c>
      <c r="J58" s="809" t="s">
        <v>4007</v>
      </c>
      <c r="K58" s="810"/>
      <c r="L58" s="800"/>
    </row>
    <row r="59" spans="2:12" ht="14.25" customHeight="1" x14ac:dyDescent="0.2">
      <c r="B59" s="464">
        <v>30</v>
      </c>
      <c r="C59" s="798" t="s">
        <v>4026</v>
      </c>
      <c r="D59" s="809"/>
      <c r="E59" s="810" t="s">
        <v>4007</v>
      </c>
      <c r="F59" s="800"/>
      <c r="H59" s="464">
        <v>30</v>
      </c>
      <c r="I59" s="798" t="s">
        <v>4213</v>
      </c>
      <c r="J59" s="809" t="s">
        <v>4007</v>
      </c>
      <c r="K59" s="810"/>
      <c r="L59" s="800"/>
    </row>
    <row r="60" spans="2:12" ht="14.25" customHeight="1" x14ac:dyDescent="0.2">
      <c r="B60" s="464">
        <v>31</v>
      </c>
      <c r="C60" s="798" t="s">
        <v>4027</v>
      </c>
      <c r="D60" s="809" t="s">
        <v>4007</v>
      </c>
      <c r="E60" s="810" t="s">
        <v>4007</v>
      </c>
      <c r="F60" s="800"/>
      <c r="H60" s="464">
        <v>31</v>
      </c>
      <c r="I60" s="798" t="s">
        <v>5090</v>
      </c>
      <c r="J60" s="809" t="s">
        <v>4007</v>
      </c>
      <c r="K60" s="811" t="s">
        <v>4363</v>
      </c>
      <c r="L60" s="800"/>
    </row>
    <row r="61" spans="2:12" ht="14.25" customHeight="1" x14ac:dyDescent="0.2">
      <c r="B61" s="464">
        <v>32</v>
      </c>
      <c r="C61" s="798" t="s">
        <v>3901</v>
      </c>
      <c r="D61" s="809" t="s">
        <v>4007</v>
      </c>
      <c r="E61" s="810"/>
      <c r="F61" s="800"/>
      <c r="H61" s="464">
        <v>32</v>
      </c>
      <c r="I61" s="798" t="s">
        <v>4025</v>
      </c>
      <c r="J61" s="809"/>
      <c r="K61" s="810" t="s">
        <v>4007</v>
      </c>
      <c r="L61" s="800"/>
    </row>
    <row r="62" spans="2:12" ht="14.25" customHeight="1" x14ac:dyDescent="0.2">
      <c r="B62" s="464">
        <v>33</v>
      </c>
      <c r="C62" s="798" t="s">
        <v>4354</v>
      </c>
      <c r="D62" s="809" t="s">
        <v>4007</v>
      </c>
      <c r="E62" s="810"/>
      <c r="F62" s="800"/>
      <c r="H62" s="464">
        <v>33</v>
      </c>
      <c r="I62" s="798" t="s">
        <v>4026</v>
      </c>
      <c r="J62" s="809"/>
      <c r="K62" s="810" t="s">
        <v>4007</v>
      </c>
      <c r="L62" s="800"/>
    </row>
    <row r="63" spans="2:12" ht="14.25" customHeight="1" x14ac:dyDescent="0.2">
      <c r="B63" s="464">
        <v>34</v>
      </c>
      <c r="C63" s="798" t="s">
        <v>4353</v>
      </c>
      <c r="D63" s="809" t="s">
        <v>4007</v>
      </c>
      <c r="E63" s="810"/>
      <c r="F63" s="800"/>
      <c r="H63" s="464">
        <v>34</v>
      </c>
      <c r="I63" s="798" t="s">
        <v>4027</v>
      </c>
      <c r="J63" s="809" t="s">
        <v>4007</v>
      </c>
      <c r="K63" s="810" t="s">
        <v>4007</v>
      </c>
      <c r="L63" s="800"/>
    </row>
    <row r="64" spans="2:12" ht="14.25" customHeight="1" x14ac:dyDescent="0.2">
      <c r="B64" s="464">
        <v>35</v>
      </c>
      <c r="C64" s="798" t="s">
        <v>4028</v>
      </c>
      <c r="D64" s="809" t="s">
        <v>4007</v>
      </c>
      <c r="E64" s="810"/>
      <c r="F64" s="800" t="s">
        <v>4007</v>
      </c>
      <c r="H64" s="464">
        <v>35</v>
      </c>
      <c r="I64" s="798" t="s">
        <v>4354</v>
      </c>
      <c r="J64" s="809" t="s">
        <v>4007</v>
      </c>
      <c r="K64" s="810"/>
      <c r="L64" s="800"/>
    </row>
    <row r="65" spans="1:12" ht="14.25" customHeight="1" x14ac:dyDescent="0.2">
      <c r="B65" s="464">
        <v>36</v>
      </c>
      <c r="C65" s="798" t="s">
        <v>4029</v>
      </c>
      <c r="D65" s="809" t="s">
        <v>4007</v>
      </c>
      <c r="E65" s="811" t="s">
        <v>4363</v>
      </c>
      <c r="F65" s="800"/>
      <c r="H65" s="464">
        <v>36</v>
      </c>
      <c r="I65" s="798" t="s">
        <v>4353</v>
      </c>
      <c r="J65" s="809" t="s">
        <v>4007</v>
      </c>
      <c r="K65" s="810"/>
      <c r="L65" s="800"/>
    </row>
    <row r="66" spans="1:12" ht="14.25" customHeight="1" x14ac:dyDescent="0.2">
      <c r="B66" s="464">
        <v>37</v>
      </c>
      <c r="C66" s="798" t="s">
        <v>4030</v>
      </c>
      <c r="D66" s="809" t="s">
        <v>4007</v>
      </c>
      <c r="E66" s="810"/>
      <c r="F66" s="800"/>
      <c r="H66" s="464">
        <v>37</v>
      </c>
      <c r="I66" s="798" t="s">
        <v>4028</v>
      </c>
      <c r="J66" s="809"/>
      <c r="K66" s="810"/>
      <c r="L66" s="800" t="s">
        <v>4007</v>
      </c>
    </row>
    <row r="67" spans="1:12" ht="14.25" customHeight="1" x14ac:dyDescent="0.2">
      <c r="B67" s="801"/>
      <c r="C67" s="802"/>
      <c r="H67" s="464">
        <v>38</v>
      </c>
      <c r="I67" s="798" t="s">
        <v>4029</v>
      </c>
      <c r="J67" s="809" t="s">
        <v>4007</v>
      </c>
      <c r="K67" s="811" t="s">
        <v>4363</v>
      </c>
      <c r="L67" s="800"/>
    </row>
    <row r="68" spans="1:12" ht="14.25" customHeight="1" x14ac:dyDescent="0.2">
      <c r="H68" s="464">
        <v>39</v>
      </c>
      <c r="I68" s="798" t="s">
        <v>4030</v>
      </c>
      <c r="J68" s="809" t="s">
        <v>4007</v>
      </c>
      <c r="K68" s="810"/>
      <c r="L68" s="800"/>
    </row>
    <row r="69" spans="1:12" ht="22.5" customHeight="1" x14ac:dyDescent="0.2">
      <c r="B69" s="1058" t="s">
        <v>4891</v>
      </c>
      <c r="C69" s="1058"/>
      <c r="D69" s="1058"/>
      <c r="E69" s="1058"/>
      <c r="H69" s="941"/>
      <c r="I69" s="940"/>
      <c r="J69" s="939"/>
    </row>
    <row r="70" spans="1:12" ht="18" customHeight="1" x14ac:dyDescent="0.2">
      <c r="B70" s="1050" t="s">
        <v>4892</v>
      </c>
      <c r="C70" s="1051"/>
      <c r="D70" s="1051"/>
      <c r="E70" s="1052"/>
      <c r="H70" s="1047" t="s">
        <v>4889</v>
      </c>
      <c r="I70" s="1048"/>
      <c r="J70" s="1049"/>
    </row>
    <row r="71" spans="1:12" ht="19.5" customHeight="1" x14ac:dyDescent="0.2">
      <c r="B71" s="1061" t="s">
        <v>4890</v>
      </c>
      <c r="C71" s="1062"/>
      <c r="D71" s="1062"/>
      <c r="E71" s="1063"/>
      <c r="H71" s="1050" t="s">
        <v>4893</v>
      </c>
      <c r="I71" s="1051"/>
      <c r="J71" s="1052"/>
    </row>
    <row r="72" spans="1:12" ht="18" customHeight="1" x14ac:dyDescent="0.25">
      <c r="B72" s="1054"/>
      <c r="C72" s="1055"/>
      <c r="D72" s="1059" t="s">
        <v>4034</v>
      </c>
      <c r="E72" s="1060"/>
      <c r="H72" s="807" t="s">
        <v>4033</v>
      </c>
      <c r="I72" s="806" t="s">
        <v>4365</v>
      </c>
      <c r="J72" s="808" t="s">
        <v>4031</v>
      </c>
    </row>
    <row r="73" spans="1:12" ht="15" customHeight="1" x14ac:dyDescent="0.25">
      <c r="B73" s="807" t="s">
        <v>4033</v>
      </c>
      <c r="C73" s="806" t="s">
        <v>4365</v>
      </c>
      <c r="D73" s="808" t="s">
        <v>4031</v>
      </c>
      <c r="E73" s="805">
        <v>8609</v>
      </c>
      <c r="H73" s="465">
        <v>1</v>
      </c>
      <c r="I73" s="160" t="s">
        <v>4540</v>
      </c>
      <c r="J73" s="145" t="s">
        <v>4007</v>
      </c>
    </row>
    <row r="74" spans="1:12" ht="15" customHeight="1" x14ac:dyDescent="0.25">
      <c r="A74" s="6"/>
      <c r="B74" s="464">
        <v>1</v>
      </c>
      <c r="C74" s="798" t="s">
        <v>4539</v>
      </c>
      <c r="D74" s="799" t="s">
        <v>4007</v>
      </c>
      <c r="E74" s="800"/>
      <c r="F74" s="369"/>
      <c r="H74" s="465"/>
      <c r="I74" s="569" t="s">
        <v>3</v>
      </c>
      <c r="J74" s="145" t="s">
        <v>4007</v>
      </c>
    </row>
    <row r="75" spans="1:12" ht="15" customHeight="1" x14ac:dyDescent="0.2">
      <c r="A75" s="463"/>
      <c r="B75" s="464">
        <v>2</v>
      </c>
      <c r="C75" s="798" t="s">
        <v>4008</v>
      </c>
      <c r="D75" s="799" t="s">
        <v>4007</v>
      </c>
      <c r="E75" s="800"/>
      <c r="G75" s="369"/>
      <c r="H75" s="465"/>
      <c r="I75" s="569" t="s">
        <v>3109</v>
      </c>
      <c r="J75" s="145" t="s">
        <v>4007</v>
      </c>
    </row>
    <row r="76" spans="1:12" x14ac:dyDescent="0.2">
      <c r="B76" s="464">
        <v>3</v>
      </c>
      <c r="C76" s="798" t="s">
        <v>4894</v>
      </c>
      <c r="D76" s="799" t="s">
        <v>4007</v>
      </c>
      <c r="E76" s="800"/>
      <c r="H76" s="465"/>
      <c r="I76" s="569" t="s">
        <v>4083</v>
      </c>
      <c r="J76" s="145" t="s">
        <v>4007</v>
      </c>
    </row>
    <row r="77" spans="1:12" ht="15" customHeight="1" x14ac:dyDescent="0.2">
      <c r="B77" s="464">
        <v>4</v>
      </c>
      <c r="C77" s="798" t="s">
        <v>4009</v>
      </c>
      <c r="D77" s="799" t="s">
        <v>4007</v>
      </c>
      <c r="E77" s="800"/>
      <c r="H77" s="465"/>
      <c r="I77" s="569" t="s">
        <v>3108</v>
      </c>
      <c r="J77" s="145" t="s">
        <v>4007</v>
      </c>
    </row>
    <row r="78" spans="1:12" ht="15" customHeight="1" x14ac:dyDescent="0.2">
      <c r="B78" s="464">
        <v>5</v>
      </c>
      <c r="C78" s="798" t="s">
        <v>4010</v>
      </c>
      <c r="D78" s="799" t="s">
        <v>4007</v>
      </c>
      <c r="E78" s="800"/>
      <c r="H78" s="465"/>
      <c r="I78" s="569" t="s">
        <v>2</v>
      </c>
      <c r="J78" s="145" t="s">
        <v>4007</v>
      </c>
    </row>
    <row r="79" spans="1:12" ht="15" customHeight="1" x14ac:dyDescent="0.2">
      <c r="B79" s="464">
        <v>6</v>
      </c>
      <c r="C79" s="798" t="s">
        <v>4011</v>
      </c>
      <c r="D79" s="799" t="s">
        <v>4007</v>
      </c>
      <c r="E79" s="800"/>
      <c r="H79" s="465"/>
      <c r="I79" s="569" t="s">
        <v>1</v>
      </c>
      <c r="J79" s="145" t="s">
        <v>4007</v>
      </c>
    </row>
    <row r="80" spans="1:12" ht="15" customHeight="1" x14ac:dyDescent="0.2">
      <c r="B80" s="464">
        <v>7</v>
      </c>
      <c r="C80" s="798" t="s">
        <v>4366</v>
      </c>
      <c r="D80" s="799" t="s">
        <v>4007</v>
      </c>
      <c r="E80" s="800"/>
      <c r="H80" s="465">
        <v>2</v>
      </c>
      <c r="I80" s="161" t="s">
        <v>4213</v>
      </c>
      <c r="J80" s="145" t="s">
        <v>4007</v>
      </c>
    </row>
    <row r="81" spans="1:10" ht="15" customHeight="1" x14ac:dyDescent="0.2">
      <c r="B81" s="464">
        <v>8</v>
      </c>
      <c r="C81" s="798" t="s">
        <v>4013</v>
      </c>
      <c r="D81" s="799" t="s">
        <v>4007</v>
      </c>
      <c r="E81" s="800"/>
      <c r="H81" s="465">
        <v>3</v>
      </c>
      <c r="I81" s="161" t="s">
        <v>4024</v>
      </c>
      <c r="J81" s="145" t="s">
        <v>4007</v>
      </c>
    </row>
    <row r="82" spans="1:10" ht="15" customHeight="1" x14ac:dyDescent="0.25">
      <c r="A82" s="6"/>
      <c r="B82" s="464">
        <v>9</v>
      </c>
      <c r="C82" s="798" t="s">
        <v>4012</v>
      </c>
      <c r="D82" s="799" t="s">
        <v>4007</v>
      </c>
      <c r="E82" s="800"/>
      <c r="F82" s="369"/>
      <c r="H82" s="465">
        <v>4</v>
      </c>
      <c r="I82" s="160" t="s">
        <v>4084</v>
      </c>
      <c r="J82" s="145" t="s">
        <v>4007</v>
      </c>
    </row>
    <row r="83" spans="1:10" ht="15" customHeight="1" x14ac:dyDescent="0.2">
      <c r="A83" s="796"/>
      <c r="B83" s="464">
        <v>10</v>
      </c>
      <c r="C83" s="798" t="s">
        <v>4014</v>
      </c>
      <c r="D83" s="799" t="s">
        <v>4007</v>
      </c>
      <c r="E83" s="800"/>
      <c r="F83" s="369"/>
      <c r="H83" s="465">
        <v>5</v>
      </c>
      <c r="I83" s="160" t="s">
        <v>4085</v>
      </c>
      <c r="J83" s="145" t="s">
        <v>4007</v>
      </c>
    </row>
    <row r="84" spans="1:10" ht="14.25" customHeight="1" x14ac:dyDescent="0.2">
      <c r="A84" s="795"/>
      <c r="B84" s="464">
        <v>11</v>
      </c>
      <c r="C84" s="798" t="s">
        <v>4015</v>
      </c>
      <c r="D84" s="799" t="s">
        <v>4007</v>
      </c>
      <c r="E84" s="800"/>
      <c r="G84" s="369"/>
      <c r="H84" s="465">
        <v>6</v>
      </c>
      <c r="I84" s="160" t="s">
        <v>4884</v>
      </c>
      <c r="J84" s="145" t="s">
        <v>4007</v>
      </c>
    </row>
    <row r="85" spans="1:10" ht="14.25" customHeight="1" x14ac:dyDescent="0.2">
      <c r="A85" s="795"/>
      <c r="B85" s="464">
        <v>12</v>
      </c>
      <c r="C85" s="798" t="s">
        <v>4016</v>
      </c>
      <c r="D85" s="799" t="s">
        <v>4007</v>
      </c>
      <c r="E85" s="800"/>
      <c r="G85" s="369"/>
      <c r="H85" s="465">
        <v>7</v>
      </c>
      <c r="I85" s="160" t="s">
        <v>4888</v>
      </c>
      <c r="J85" s="145" t="s">
        <v>4007</v>
      </c>
    </row>
    <row r="86" spans="1:10" x14ac:dyDescent="0.2">
      <c r="A86" s="795"/>
      <c r="B86" s="464">
        <v>13</v>
      </c>
      <c r="C86" s="798" t="s">
        <v>4017</v>
      </c>
      <c r="D86" s="799"/>
      <c r="E86" s="800" t="s">
        <v>4007</v>
      </c>
      <c r="H86" s="465">
        <v>8</v>
      </c>
      <c r="I86" s="160" t="s">
        <v>4887</v>
      </c>
      <c r="J86" s="145" t="s">
        <v>4007</v>
      </c>
    </row>
    <row r="87" spans="1:10" x14ac:dyDescent="0.2">
      <c r="A87" s="795"/>
      <c r="B87" s="464">
        <v>14</v>
      </c>
      <c r="C87" s="798" t="s">
        <v>4018</v>
      </c>
      <c r="D87" s="799" t="s">
        <v>4007</v>
      </c>
      <c r="E87" s="800"/>
      <c r="H87" s="465">
        <v>9</v>
      </c>
      <c r="I87" s="160" t="s">
        <v>4886</v>
      </c>
      <c r="J87" s="145" t="s">
        <v>4007</v>
      </c>
    </row>
    <row r="88" spans="1:10" x14ac:dyDescent="0.2">
      <c r="A88" s="795"/>
      <c r="B88" s="464">
        <v>15</v>
      </c>
      <c r="C88" s="798" t="s">
        <v>4359</v>
      </c>
      <c r="D88" s="799" t="s">
        <v>4007</v>
      </c>
      <c r="E88" s="800"/>
      <c r="H88" s="465">
        <v>10</v>
      </c>
      <c r="I88" s="160" t="s">
        <v>4885</v>
      </c>
      <c r="J88" s="145" t="s">
        <v>4007</v>
      </c>
    </row>
    <row r="89" spans="1:10" x14ac:dyDescent="0.2">
      <c r="A89" s="795"/>
      <c r="B89" s="464">
        <v>16</v>
      </c>
      <c r="C89" s="798" t="s">
        <v>4360</v>
      </c>
      <c r="D89" s="799"/>
      <c r="E89" s="800" t="s">
        <v>4007</v>
      </c>
    </row>
    <row r="90" spans="1:10" x14ac:dyDescent="0.2">
      <c r="A90" s="795"/>
      <c r="B90" s="464">
        <v>17</v>
      </c>
      <c r="C90" s="798" t="s">
        <v>4361</v>
      </c>
      <c r="D90" s="799" t="s">
        <v>4007</v>
      </c>
      <c r="E90" s="800"/>
    </row>
    <row r="91" spans="1:10" x14ac:dyDescent="0.2">
      <c r="A91" s="795"/>
      <c r="B91" s="464">
        <v>18</v>
      </c>
      <c r="C91" s="798" t="s">
        <v>4020</v>
      </c>
      <c r="D91" s="799" t="s">
        <v>4007</v>
      </c>
      <c r="E91" s="800"/>
    </row>
    <row r="92" spans="1:10" x14ac:dyDescent="0.2">
      <c r="A92" s="795"/>
      <c r="B92" s="464">
        <v>19</v>
      </c>
      <c r="C92" s="798" t="s">
        <v>4032</v>
      </c>
      <c r="D92" s="799" t="s">
        <v>4007</v>
      </c>
      <c r="E92" s="800"/>
    </row>
    <row r="93" spans="1:10" x14ac:dyDescent="0.2">
      <c r="A93" s="795"/>
      <c r="B93" s="464">
        <v>20</v>
      </c>
      <c r="C93" s="798" t="s">
        <v>4021</v>
      </c>
      <c r="D93" s="799" t="s">
        <v>4007</v>
      </c>
      <c r="E93" s="800"/>
    </row>
    <row r="94" spans="1:10" x14ac:dyDescent="0.2">
      <c r="A94" s="795"/>
      <c r="B94" s="464">
        <v>21</v>
      </c>
      <c r="C94" s="798" t="s">
        <v>4022</v>
      </c>
      <c r="D94" s="799"/>
      <c r="E94" s="800" t="s">
        <v>4007</v>
      </c>
    </row>
    <row r="95" spans="1:10" x14ac:dyDescent="0.2">
      <c r="A95" s="795"/>
      <c r="B95" s="464">
        <v>22</v>
      </c>
      <c r="C95" s="798" t="s">
        <v>4023</v>
      </c>
      <c r="D95" s="799" t="s">
        <v>4007</v>
      </c>
      <c r="E95" s="800"/>
    </row>
    <row r="96" spans="1:10" x14ac:dyDescent="0.2">
      <c r="A96" s="795"/>
      <c r="B96" s="464">
        <v>23</v>
      </c>
      <c r="C96" s="798" t="s">
        <v>4364</v>
      </c>
      <c r="D96" s="799" t="s">
        <v>4007</v>
      </c>
      <c r="E96" s="800"/>
    </row>
    <row r="97" spans="1:5" ht="14.25" customHeight="1" x14ac:dyDescent="0.2">
      <c r="A97" s="370"/>
      <c r="B97" s="464">
        <v>24</v>
      </c>
      <c r="C97" s="798" t="s">
        <v>4362</v>
      </c>
      <c r="D97" s="799" t="s">
        <v>4007</v>
      </c>
      <c r="E97" s="800"/>
    </row>
    <row r="98" spans="1:5" ht="14.25" customHeight="1" x14ac:dyDescent="0.2">
      <c r="A98" s="370"/>
      <c r="B98" s="464">
        <v>25</v>
      </c>
      <c r="C98" s="798" t="s">
        <v>4213</v>
      </c>
      <c r="D98" s="799" t="s">
        <v>4007</v>
      </c>
      <c r="E98" s="800"/>
    </row>
    <row r="99" spans="1:5" x14ac:dyDescent="0.2">
      <c r="A99" s="370"/>
      <c r="B99" s="464">
        <v>26</v>
      </c>
      <c r="C99" s="798" t="s">
        <v>4024</v>
      </c>
      <c r="D99" s="799" t="s">
        <v>4007</v>
      </c>
      <c r="E99" s="800"/>
    </row>
    <row r="100" spans="1:5" x14ac:dyDescent="0.2">
      <c r="A100" s="370"/>
      <c r="B100" s="464">
        <v>27</v>
      </c>
      <c r="C100" s="798" t="s">
        <v>4025</v>
      </c>
      <c r="D100" s="799" t="s">
        <v>4007</v>
      </c>
      <c r="E100" s="800"/>
    </row>
    <row r="101" spans="1:5" x14ac:dyDescent="0.2">
      <c r="A101" s="370"/>
      <c r="B101" s="464">
        <v>28</v>
      </c>
      <c r="C101" s="798" t="s">
        <v>4026</v>
      </c>
      <c r="D101" s="799" t="s">
        <v>4007</v>
      </c>
      <c r="E101" s="800"/>
    </row>
    <row r="102" spans="1:5" x14ac:dyDescent="0.2">
      <c r="A102" s="370"/>
      <c r="B102" s="464">
        <v>29</v>
      </c>
      <c r="C102" s="798" t="s">
        <v>4027</v>
      </c>
      <c r="D102" s="799" t="s">
        <v>4007</v>
      </c>
      <c r="E102" s="800"/>
    </row>
    <row r="103" spans="1:5" x14ac:dyDescent="0.2">
      <c r="A103" s="370"/>
      <c r="B103" s="464">
        <v>30</v>
      </c>
      <c r="C103" s="798" t="s">
        <v>4354</v>
      </c>
      <c r="D103" s="799" t="s">
        <v>4007</v>
      </c>
      <c r="E103" s="800"/>
    </row>
    <row r="104" spans="1:5" x14ac:dyDescent="0.2">
      <c r="A104" s="370"/>
      <c r="B104" s="464">
        <v>31</v>
      </c>
      <c r="C104" s="798" t="s">
        <v>4353</v>
      </c>
      <c r="D104" s="799" t="s">
        <v>4007</v>
      </c>
      <c r="E104" s="800"/>
    </row>
    <row r="105" spans="1:5" x14ac:dyDescent="0.2">
      <c r="A105" s="370"/>
      <c r="B105" s="464">
        <v>32</v>
      </c>
      <c r="C105" s="798" t="s">
        <v>4028</v>
      </c>
      <c r="D105" s="799"/>
      <c r="E105" s="800" t="s">
        <v>4007</v>
      </c>
    </row>
    <row r="106" spans="1:5" x14ac:dyDescent="0.2">
      <c r="A106" s="370"/>
      <c r="B106" s="464">
        <v>33</v>
      </c>
      <c r="C106" s="798" t="s">
        <v>4029</v>
      </c>
      <c r="D106" s="799" t="s">
        <v>4007</v>
      </c>
      <c r="E106" s="800"/>
    </row>
    <row r="107" spans="1:5" x14ac:dyDescent="0.2">
      <c r="A107" s="370"/>
      <c r="B107" s="464">
        <v>34</v>
      </c>
      <c r="C107" s="798" t="s">
        <v>4030</v>
      </c>
      <c r="D107" s="799" t="s">
        <v>4007</v>
      </c>
      <c r="E107" s="800"/>
    </row>
    <row r="108" spans="1:5" x14ac:dyDescent="0.2">
      <c r="A108" s="370"/>
    </row>
    <row r="109" spans="1:5" x14ac:dyDescent="0.2">
      <c r="A109" s="370"/>
    </row>
    <row r="110" spans="1:5" ht="22.5" customHeight="1" x14ac:dyDescent="0.2">
      <c r="A110" s="370"/>
    </row>
    <row r="111" spans="1:5" ht="18" customHeight="1" x14ac:dyDescent="0.2">
      <c r="A111" s="370"/>
    </row>
    <row r="112" spans="1:5" x14ac:dyDescent="0.2">
      <c r="A112" s="370"/>
    </row>
    <row r="113" spans="1:1" x14ac:dyDescent="0.2">
      <c r="A113" s="370"/>
    </row>
    <row r="114" spans="1:1" x14ac:dyDescent="0.2">
      <c r="A114" s="370"/>
    </row>
    <row r="115" spans="1:1" x14ac:dyDescent="0.2">
      <c r="A115" s="370"/>
    </row>
  </sheetData>
  <sheetProtection algorithmName="SHA-512" hashValue="3RyAsIuGFEfSR8S8Bbb7VU3zPLNUzJBC7X8NAtBrNrhtLGKWNdvEqRGdfp0kDBAJiVwkmroJY8fD53Y+p2qNqQ==" saltValue="7jXoBYx8AWyktZ2vZGBagg==" spinCount="100000" sheet="1" objects="1" scenarios="1"/>
  <mergeCells count="20">
    <mergeCell ref="A17:K17"/>
    <mergeCell ref="A15:K15"/>
    <mergeCell ref="H28:I28"/>
    <mergeCell ref="J28:L28"/>
    <mergeCell ref="H26:L26"/>
    <mergeCell ref="H27:L27"/>
    <mergeCell ref="B72:C72"/>
    <mergeCell ref="B69:E69"/>
    <mergeCell ref="D72:E72"/>
    <mergeCell ref="B71:E71"/>
    <mergeCell ref="B70:E70"/>
    <mergeCell ref="H70:J70"/>
    <mergeCell ref="H71:J71"/>
    <mergeCell ref="B20:C20"/>
    <mergeCell ref="B21:C21"/>
    <mergeCell ref="B22:C22"/>
    <mergeCell ref="B28:C28"/>
    <mergeCell ref="D28:F28"/>
    <mergeCell ref="B27:F27"/>
    <mergeCell ref="B26:F26"/>
  </mergeCells>
  <hyperlinks>
    <hyperlink ref="B70" r:id="rId1" display="(See Bond Guidelines for details)" xr:uid="{00000000-0004-0000-0100-000000000000}"/>
    <hyperlink ref="B70:D70" r:id="rId2" display="(See QAP for details)" xr:uid="{00000000-0004-0000-0100-000001000000}"/>
    <hyperlink ref="B27" r:id="rId3" display="(See Bond Guidelines for details)" xr:uid="{00000000-0004-0000-0100-000002000000}"/>
    <hyperlink ref="B27:D27" r:id="rId4" display="(See QAP for details)" xr:uid="{00000000-0004-0000-0100-000003000000}"/>
    <hyperlink ref="H71" r:id="rId5" display="(See Bond Guidelines for details)" xr:uid="{00000000-0004-0000-0100-000004000000}"/>
    <hyperlink ref="B22" location="'Submission Requirements'!H71" display="Bonds Only Submission Requirements" xr:uid="{00000000-0004-0000-0100-000005000000}"/>
    <hyperlink ref="B21" location="'Submission Requirements'!B71" display="Non-Competitive 4% HTC Only Submission Requirements" xr:uid="{00000000-0004-0000-0100-000006000000}"/>
    <hyperlink ref="B20" location="'Submission Requirements'!B28" display="Competitive 9% HTC Submission Requirements" xr:uid="{00000000-0004-0000-0100-000007000000}"/>
    <hyperlink ref="B20:C20" location="'Submission Requirements'!B30" display="Competitive 9% HTC Submission Requirements" xr:uid="{00000000-0004-0000-0100-000008000000}"/>
    <hyperlink ref="B21:C21" location="'Submission Requirements'!B73" display="Non-Competitive 4% HTC Only Submission Requirements" xr:uid="{00000000-0004-0000-0100-000009000000}"/>
    <hyperlink ref="B22:C22" location="'Submission Requirements'!H73" display="Bonds Only Submission Requirements" xr:uid="{00000000-0004-0000-0100-00000A000000}"/>
    <hyperlink ref="H27" r:id="rId6" display="(See Bond Guidelines for details)" xr:uid="{00000000-0004-0000-0100-00000B000000}"/>
    <hyperlink ref="H27:J27" r:id="rId7" display="(See QAP for details)" xr:uid="{00000000-0004-0000-0100-00000C000000}"/>
    <hyperlink ref="H27:K27" r:id="rId8" display="See BGF Guidelines for details" xr:uid="{00000000-0004-0000-0100-00000D000000}"/>
    <hyperlink ref="B23" location="'Submission Requirements'!H27" display="Bond Gap Financing Submission Requirements" xr:uid="{00000000-0004-0000-0100-00000E000000}"/>
    <hyperlink ref="B27:F27" r:id="rId9" display="See QAP for details" xr:uid="{00000000-0004-0000-0100-00000F000000}"/>
    <hyperlink ref="B70:E70" r:id="rId10" display="See QAP for details" xr:uid="{00000000-0004-0000-0100-000010000000}"/>
    <hyperlink ref="H27:L27" r:id="rId11" display="See QAP for details" xr:uid="{00000000-0004-0000-0100-000011000000}"/>
  </hyperlinks>
  <pageMargins left="0.7" right="0.7" top="0.75" bottom="0.75" header="0.3" footer="0.3"/>
  <pageSetup orientation="portrait" r:id="rId12"/>
  <drawing r:id="rId13"/>
  <legacy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42"/>
  <sheetViews>
    <sheetView zoomScale="85" zoomScaleNormal="85" workbookViewId="0">
      <selection activeCell="C14" sqref="C14:E14"/>
    </sheetView>
  </sheetViews>
  <sheetFormatPr defaultColWidth="9" defaultRowHeight="14.25" customHeight="1" x14ac:dyDescent="0.2"/>
  <cols>
    <col min="1" max="1" width="9" style="5"/>
    <col min="2" max="2" width="22.5" style="5" bestFit="1" customWidth="1"/>
    <col min="3" max="3" width="16.5" style="53" customWidth="1"/>
    <col min="4" max="4" width="12" style="5" customWidth="1"/>
    <col min="5" max="5" width="17.5" style="5" customWidth="1"/>
    <col min="6" max="6" width="15.75" style="5" customWidth="1"/>
    <col min="7" max="7" width="9" style="5"/>
    <col min="8" max="8" width="15" style="5" customWidth="1"/>
    <col min="9" max="9" width="9" style="5"/>
    <col min="10" max="10" width="22.25" style="5" customWidth="1"/>
    <col min="11" max="16384" width="9" style="5"/>
  </cols>
  <sheetData>
    <row r="1" spans="1:10" ht="54.95" customHeight="1" x14ac:dyDescent="0.2"/>
    <row r="2" spans="1:10" s="1" customFormat="1" ht="22.5" x14ac:dyDescent="0.3">
      <c r="A2" s="572" t="s">
        <v>3615</v>
      </c>
      <c r="C2" s="181"/>
    </row>
    <row r="3" spans="1:10" s="2" customFormat="1" ht="15.75" x14ac:dyDescent="0.25">
      <c r="A3" s="573" t="s">
        <v>4297</v>
      </c>
      <c r="C3" s="38">
        <f>'Project Details'!C7</f>
        <v>0</v>
      </c>
    </row>
    <row r="4" spans="1:10" ht="18.75" x14ac:dyDescent="0.3">
      <c r="A4" s="632" t="s">
        <v>3934</v>
      </c>
      <c r="C4" s="96"/>
    </row>
    <row r="5" spans="1:10" ht="15" x14ac:dyDescent="0.25">
      <c r="C5" s="96"/>
    </row>
    <row r="6" spans="1:10" ht="14.25" customHeight="1" x14ac:dyDescent="0.25">
      <c r="A6" s="6" t="s">
        <v>7</v>
      </c>
    </row>
    <row r="7" spans="1:10" ht="14.25" customHeight="1" x14ac:dyDescent="0.2">
      <c r="B7" s="5" t="s">
        <v>8</v>
      </c>
      <c r="C7" s="1072">
        <f>'Project Details'!C7</f>
        <v>0</v>
      </c>
      <c r="D7" s="1072"/>
      <c r="E7" s="1072"/>
      <c r="G7" s="37" t="s">
        <v>3556</v>
      </c>
      <c r="H7" s="1069">
        <f>'Project Details'!C22</f>
        <v>0</v>
      </c>
      <c r="I7" s="1070"/>
      <c r="J7" s="1071"/>
    </row>
    <row r="8" spans="1:10" ht="14.25" customHeight="1" x14ac:dyDescent="0.2">
      <c r="B8" s="5" t="s">
        <v>3616</v>
      </c>
      <c r="C8" s="1069">
        <f>'Project Details'!C6</f>
        <v>0</v>
      </c>
      <c r="D8" s="1070"/>
      <c r="E8" s="1071"/>
      <c r="G8" s="37" t="s">
        <v>3552</v>
      </c>
      <c r="H8" s="1069">
        <f>'Project Details'!C14</f>
        <v>0</v>
      </c>
      <c r="I8" s="1070"/>
      <c r="J8" s="1071"/>
    </row>
    <row r="9" spans="1:10" ht="14.25" customHeight="1" x14ac:dyDescent="0.2">
      <c r="B9" s="5" t="s">
        <v>3062</v>
      </c>
      <c r="C9" s="1069">
        <f>'Project Details'!C9</f>
        <v>0</v>
      </c>
      <c r="D9" s="1070"/>
      <c r="E9" s="1071"/>
      <c r="G9" s="37" t="s">
        <v>3570</v>
      </c>
      <c r="H9" s="1069" t="e">
        <f>VLOOKUP(C13,Data!$A$5:$G$2950,7,FALSE)</f>
        <v>#N/A</v>
      </c>
      <c r="I9" s="1070"/>
      <c r="J9" s="1071"/>
    </row>
    <row r="10" spans="1:10" ht="14.25" customHeight="1" x14ac:dyDescent="0.2">
      <c r="B10" s="5" t="s">
        <v>11</v>
      </c>
      <c r="C10" s="472">
        <f>'Project Details'!C12</f>
        <v>0</v>
      </c>
      <c r="G10" s="37" t="s">
        <v>3575</v>
      </c>
      <c r="H10" s="1069">
        <f>'Project Details'!C23</f>
        <v>0</v>
      </c>
      <c r="I10" s="1070"/>
      <c r="J10" s="1071"/>
    </row>
    <row r="11" spans="1:10" ht="14.25" customHeight="1" x14ac:dyDescent="0.2">
      <c r="B11" s="53" t="s">
        <v>3626</v>
      </c>
      <c r="C11" s="188">
        <f>'Project Details'!C29</f>
        <v>0</v>
      </c>
      <c r="G11" s="37" t="s">
        <v>3110</v>
      </c>
      <c r="H11" s="1069">
        <f>'Project Details'!C27</f>
        <v>0</v>
      </c>
      <c r="I11" s="1070"/>
      <c r="J11" s="1071"/>
    </row>
    <row r="12" spans="1:10" ht="14.25" customHeight="1" x14ac:dyDescent="0.2">
      <c r="C12" s="5"/>
    </row>
    <row r="13" spans="1:10" ht="14.25" customHeight="1" x14ac:dyDescent="0.2">
      <c r="B13" s="5" t="s">
        <v>3686</v>
      </c>
      <c r="C13" s="472">
        <f>'Project Details'!G11</f>
        <v>0</v>
      </c>
      <c r="G13" s="37" t="s">
        <v>4339</v>
      </c>
      <c r="H13" s="1066">
        <f>'Development Team'!D73</f>
        <v>0</v>
      </c>
      <c r="I13" s="1067"/>
      <c r="J13" s="1068"/>
    </row>
    <row r="14" spans="1:10" ht="14.25" customHeight="1" x14ac:dyDescent="0.2">
      <c r="B14" s="5" t="s">
        <v>5328</v>
      </c>
      <c r="C14" s="1069" t="e">
        <f>VLOOKUP('Project Details'!G11,Data!$A$5:$F$2950,2,FALSE)</f>
        <v>#N/A</v>
      </c>
      <c r="D14" s="1070"/>
      <c r="E14" s="1071"/>
      <c r="G14" s="37" t="s">
        <v>3618</v>
      </c>
      <c r="H14" s="1066">
        <f>'Development Team'!D79</f>
        <v>0</v>
      </c>
      <c r="I14" s="1067"/>
      <c r="J14" s="1068"/>
    </row>
    <row r="15" spans="1:10" ht="14.25" customHeight="1" x14ac:dyDescent="0.2">
      <c r="B15" s="5" t="s">
        <v>17</v>
      </c>
      <c r="C15" s="473" t="str">
        <f>'Project Details'!G14</f>
        <v/>
      </c>
      <c r="G15" s="37" t="s">
        <v>3619</v>
      </c>
      <c r="H15" s="1076">
        <f>'Development Team'!D83</f>
        <v>0</v>
      </c>
      <c r="I15" s="1077"/>
      <c r="J15" s="1078"/>
    </row>
    <row r="16" spans="1:10" ht="14.25" customHeight="1" x14ac:dyDescent="0.2">
      <c r="B16" s="5" t="s">
        <v>18</v>
      </c>
      <c r="C16" s="472" t="str">
        <f>'Project Details'!G15</f>
        <v/>
      </c>
      <c r="G16" s="37" t="s">
        <v>4066</v>
      </c>
      <c r="H16" s="1073">
        <f>'Development Team'!D86</f>
        <v>0</v>
      </c>
      <c r="I16" s="1074"/>
      <c r="J16" s="1075"/>
    </row>
    <row r="17" spans="1:10" ht="14.25" customHeight="1" x14ac:dyDescent="0.2">
      <c r="B17" s="5" t="s">
        <v>19</v>
      </c>
      <c r="C17" s="472" t="str">
        <f>'Project Details'!C15</f>
        <v/>
      </c>
      <c r="G17" s="37" t="s">
        <v>4067</v>
      </c>
      <c r="H17" s="1066">
        <f>'Development Team'!D99</f>
        <v>0</v>
      </c>
      <c r="I17" s="1067"/>
      <c r="J17" s="1068"/>
    </row>
    <row r="18" spans="1:10" ht="14.25" customHeight="1" x14ac:dyDescent="0.2">
      <c r="B18" s="5" t="s">
        <v>20</v>
      </c>
      <c r="C18" s="472" t="str">
        <f>'Project Details'!C17</f>
        <v/>
      </c>
    </row>
    <row r="19" spans="1:10" ht="14.25" customHeight="1" x14ac:dyDescent="0.2">
      <c r="C19" s="5"/>
    </row>
    <row r="20" spans="1:10" ht="14.25" customHeight="1" x14ac:dyDescent="0.2">
      <c r="C20" s="5"/>
    </row>
    <row r="21" spans="1:10" ht="14.25" customHeight="1" x14ac:dyDescent="0.25">
      <c r="A21" s="6" t="s">
        <v>3620</v>
      </c>
      <c r="C21" s="5"/>
    </row>
    <row r="22" spans="1:10" ht="14.25" customHeight="1" x14ac:dyDescent="0.2">
      <c r="B22" s="5" t="s">
        <v>3621</v>
      </c>
      <c r="C22" s="385">
        <f>'Budget &amp; Costs'!C45</f>
        <v>0</v>
      </c>
    </row>
    <row r="23" spans="1:10" ht="14.25" customHeight="1" x14ac:dyDescent="0.2">
      <c r="B23" s="5" t="s">
        <v>4909</v>
      </c>
      <c r="C23" s="385">
        <f>'Budget &amp; Costs'!D50</f>
        <v>0</v>
      </c>
      <c r="G23" s="37" t="s">
        <v>5123</v>
      </c>
      <c r="H23" s="225">
        <f>IFERROR('Budget &amp; Costs'!D70,"Input needed")</f>
        <v>0</v>
      </c>
    </row>
    <row r="24" spans="1:10" ht="14.25" customHeight="1" x14ac:dyDescent="0.2">
      <c r="B24" s="5" t="s">
        <v>3624</v>
      </c>
      <c r="C24" s="385">
        <f>'Budget &amp; Costs'!I58</f>
        <v>0</v>
      </c>
      <c r="D24" s="633" t="str">
        <f t="shared" ref="D24:D27" si="0">IFERROR(C24/$C$22, "Input needed")</f>
        <v>Input needed</v>
      </c>
      <c r="G24" s="37" t="s">
        <v>5124</v>
      </c>
      <c r="H24" s="225">
        <f>IFERROR('Budget &amp; Costs'!D69,"Input needed")</f>
        <v>0</v>
      </c>
    </row>
    <row r="25" spans="1:10" ht="14.25" customHeight="1" x14ac:dyDescent="0.2">
      <c r="B25" s="5" t="s">
        <v>3623</v>
      </c>
      <c r="C25" s="385">
        <f>'Project Details'!U187</f>
        <v>0</v>
      </c>
      <c r="D25" s="633" t="str">
        <f t="shared" si="0"/>
        <v>Input needed</v>
      </c>
      <c r="G25" s="37" t="s">
        <v>5125</v>
      </c>
      <c r="H25" s="225">
        <f>IFERROR('Budget &amp; Costs'!D68,"Input needed")</f>
        <v>0</v>
      </c>
    </row>
    <row r="26" spans="1:10" ht="14.25" customHeight="1" x14ac:dyDescent="0.2">
      <c r="B26" s="5" t="s">
        <v>3622</v>
      </c>
      <c r="C26" s="385">
        <f>'Project Details'!V187</f>
        <v>0</v>
      </c>
      <c r="D26" s="633" t="str">
        <f t="shared" si="0"/>
        <v>Input needed</v>
      </c>
      <c r="G26" s="37" t="s">
        <v>5126</v>
      </c>
      <c r="H26" s="225">
        <f>IFERROR('Budget &amp; Costs'!D67,"Input needed")</f>
        <v>0</v>
      </c>
    </row>
    <row r="27" spans="1:10" ht="14.25" customHeight="1" x14ac:dyDescent="0.2">
      <c r="B27" s="5" t="s">
        <v>3625</v>
      </c>
      <c r="C27" s="385">
        <f>'Project Details'!E66</f>
        <v>0</v>
      </c>
      <c r="D27" s="633" t="str">
        <f t="shared" si="0"/>
        <v>Input needed</v>
      </c>
      <c r="G27" s="37" t="s">
        <v>5127</v>
      </c>
      <c r="H27" s="225">
        <f>IFERROR('Budget &amp; Costs'!D66,"Input needed")</f>
        <v>0</v>
      </c>
    </row>
    <row r="28" spans="1:10" ht="14.25" customHeight="1" x14ac:dyDescent="0.2">
      <c r="C28" s="5"/>
      <c r="G28" s="37" t="s">
        <v>5128</v>
      </c>
      <c r="H28" s="225">
        <f>IFERROR('Budget &amp; Costs'!D65,"Input needed")</f>
        <v>0</v>
      </c>
      <c r="I28" s="425" t="s">
        <v>5130</v>
      </c>
    </row>
    <row r="29" spans="1:10" ht="14.25" customHeight="1" x14ac:dyDescent="0.2">
      <c r="C29" s="5"/>
      <c r="G29" s="37" t="s">
        <v>5129</v>
      </c>
      <c r="H29" s="225">
        <f>IFERROR('Budget &amp; Costs'!D64,"Input needed")</f>
        <v>0</v>
      </c>
      <c r="I29" s="425" t="s">
        <v>5130</v>
      </c>
    </row>
    <row r="30" spans="1:10" ht="14.25" customHeight="1" x14ac:dyDescent="0.25">
      <c r="A30" s="6" t="s">
        <v>3309</v>
      </c>
      <c r="B30" s="5" t="s">
        <v>3617</v>
      </c>
      <c r="C30" s="598">
        <f>'Housing Credits'!C43</f>
        <v>0</v>
      </c>
    </row>
    <row r="31" spans="1:10" ht="14.25" customHeight="1" x14ac:dyDescent="0.2">
      <c r="B31" s="5" t="s">
        <v>3628</v>
      </c>
      <c r="C31" s="598">
        <f>'Multifamily Bonds'!D17+'Multifamily Bonds'!D18+'Multifamily Bonds'!D19+'Multifamily Bonds'!D20</f>
        <v>0</v>
      </c>
    </row>
    <row r="32" spans="1:10" ht="14.25" customHeight="1" x14ac:dyDescent="0.2">
      <c r="B32" s="5" t="s">
        <v>4182</v>
      </c>
      <c r="C32" s="634">
        <f>'Budget &amp; Costs'!G240</f>
        <v>0</v>
      </c>
      <c r="G32" s="37" t="s">
        <v>3310</v>
      </c>
      <c r="H32" s="226">
        <f>'Budget &amp; Costs'!F130</f>
        <v>0</v>
      </c>
    </row>
    <row r="33" spans="1:8" ht="14.25" customHeight="1" x14ac:dyDescent="0.2">
      <c r="B33" s="5" t="s">
        <v>4358</v>
      </c>
      <c r="C33" s="634">
        <f>'Budget &amp; Costs'!G239</f>
        <v>0</v>
      </c>
      <c r="G33" s="37" t="s">
        <v>3311</v>
      </c>
      <c r="H33" s="226">
        <f>'Budget &amp; Costs'!F139</f>
        <v>0</v>
      </c>
    </row>
    <row r="34" spans="1:8" ht="14.25" customHeight="1" x14ac:dyDescent="0.2">
      <c r="B34" s="5" t="s">
        <v>3627</v>
      </c>
      <c r="C34" s="634">
        <f>'HDL+HDAP+MLP'!D8</f>
        <v>0</v>
      </c>
      <c r="G34" s="37" t="s">
        <v>3312</v>
      </c>
      <c r="H34" s="226">
        <f>'Budget &amp; Costs'!F158</f>
        <v>0</v>
      </c>
    </row>
    <row r="35" spans="1:8" ht="14.25" customHeight="1" x14ac:dyDescent="0.2">
      <c r="B35" s="5" t="s">
        <v>3629</v>
      </c>
      <c r="C35" s="634">
        <f>'HDL+HDAP+MLP'!D51</f>
        <v>0</v>
      </c>
      <c r="G35" s="37" t="s">
        <v>3313</v>
      </c>
      <c r="H35" s="226">
        <f>'Budget &amp; Costs'!F170</f>
        <v>0</v>
      </c>
    </row>
    <row r="36" spans="1:8" ht="14.25" customHeight="1" x14ac:dyDescent="0.2">
      <c r="G36" s="37" t="s">
        <v>3314</v>
      </c>
      <c r="H36" s="226">
        <f>'Budget &amp; Costs'!F176</f>
        <v>0</v>
      </c>
    </row>
    <row r="37" spans="1:8" ht="14.25" customHeight="1" x14ac:dyDescent="0.2">
      <c r="G37" s="37" t="s">
        <v>3307</v>
      </c>
      <c r="H37" s="226">
        <f>'Budget &amp; Costs'!F178</f>
        <v>0</v>
      </c>
    </row>
    <row r="38" spans="1:8" ht="14.25" customHeight="1" x14ac:dyDescent="0.2">
      <c r="G38" s="37" t="s">
        <v>3243</v>
      </c>
      <c r="H38" s="226">
        <f>'Budget &amp; Costs'!F111</f>
        <v>0</v>
      </c>
    </row>
    <row r="39" spans="1:8" ht="14.25" customHeight="1" x14ac:dyDescent="0.25">
      <c r="A39" s="6" t="s">
        <v>3612</v>
      </c>
      <c r="B39" s="53" t="s">
        <v>4341</v>
      </c>
      <c r="C39" s="635" t="str">
        <f>IF(AND('Project Details'!C20="9% Competitive",'Project Details'!G20="Proposal"),5000,IF(AND('Project Details'!C20="Bond Gap Financing",'Project Details'!G20="Proposal"),2500,IF(AND('Project Details'!C20="4% HTC only"),3500,IF(AND('Project Details'!C20="FHAct50"),5000,""))))</f>
        <v/>
      </c>
      <c r="G39" s="37" t="s">
        <v>3315</v>
      </c>
      <c r="H39" s="226">
        <f>'Budget &amp; Costs'!F180</f>
        <v>0</v>
      </c>
    </row>
    <row r="40" spans="1:8" ht="14.25" customHeight="1" x14ac:dyDescent="0.2">
      <c r="B40" s="53" t="s">
        <v>3613</v>
      </c>
      <c r="C40" s="635">
        <f>'Housing Credits'!C43*0.06</f>
        <v>0</v>
      </c>
      <c r="D40" s="425" t="s">
        <v>3614</v>
      </c>
    </row>
    <row r="41" spans="1:8" ht="14.25" customHeight="1" x14ac:dyDescent="0.25">
      <c r="A41" s="6"/>
      <c r="B41" s="53" t="s">
        <v>4059</v>
      </c>
      <c r="C41" s="635">
        <f>'Budget &amp; Costs'!D50*2400</f>
        <v>0</v>
      </c>
      <c r="D41" s="425" t="s">
        <v>3614</v>
      </c>
    </row>
    <row r="42" spans="1:8" ht="14.25" customHeight="1" x14ac:dyDescent="0.25">
      <c r="A42" s="6"/>
      <c r="D42" s="425"/>
    </row>
  </sheetData>
  <sheetProtection algorithmName="SHA-512" hashValue="vxyq60Y3pFuZECj2DvuJtm8pPXk08r1SZkeBf5wnLO0T1IdGqRAUtrlw8HKobCcH2ftWVI2udVQivkloy2JvbQ==" saltValue="ncS0xsizdlMYDTS5F86IBA==" spinCount="100000" sheet="1" objects="1" scenarios="1"/>
  <mergeCells count="14">
    <mergeCell ref="H14:J14"/>
    <mergeCell ref="H10:J10"/>
    <mergeCell ref="C7:E7"/>
    <mergeCell ref="H8:J8"/>
    <mergeCell ref="H17:J17"/>
    <mergeCell ref="C14:E14"/>
    <mergeCell ref="C9:E9"/>
    <mergeCell ref="C8:E8"/>
    <mergeCell ref="H7:J7"/>
    <mergeCell ref="H9:J9"/>
    <mergeCell ref="H11:J11"/>
    <mergeCell ref="H16:J16"/>
    <mergeCell ref="H15:J15"/>
    <mergeCell ref="H13:J13"/>
  </mergeCells>
  <pageMargins left="0.7" right="0.7" top="0.75" bottom="0.75" header="0.3" footer="0.3"/>
  <pageSetup scale="49" orientation="portrait" r:id="rId1"/>
  <ignoredErrors>
    <ignoredError sqref="H7" unlockedFormula="1"/>
    <ignoredError sqref="C14:C17" evalError="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W283"/>
  <sheetViews>
    <sheetView showGridLines="0" zoomScale="85" zoomScaleNormal="85" zoomScaleSheetLayoutView="85" workbookViewId="0">
      <selection activeCell="C22" sqref="C22:D22"/>
    </sheetView>
  </sheetViews>
  <sheetFormatPr defaultColWidth="9" defaultRowHeight="14.25" x14ac:dyDescent="0.2"/>
  <cols>
    <col min="1" max="1" width="9.625" style="5" customWidth="1"/>
    <col min="2" max="2" width="37.875" style="5" customWidth="1"/>
    <col min="3" max="3" width="28" style="5" customWidth="1"/>
    <col min="4" max="4" width="15.5" style="5" customWidth="1"/>
    <col min="5" max="5" width="17" style="5" customWidth="1"/>
    <col min="6" max="6" width="19.375" style="5" customWidth="1"/>
    <col min="7" max="7" width="17.25" style="5" customWidth="1"/>
    <col min="8" max="8" width="16.25" style="5" customWidth="1"/>
    <col min="9" max="9" width="10.5" style="5" customWidth="1"/>
    <col min="10" max="10" width="12.875" style="5" customWidth="1"/>
    <col min="11" max="12" width="20.625" style="5" customWidth="1"/>
    <col min="13" max="13" width="27" style="5" customWidth="1"/>
    <col min="14" max="14" width="19.125" style="5" customWidth="1"/>
    <col min="15" max="15" width="18.5" style="5" customWidth="1"/>
    <col min="16" max="16" width="14" style="5" bestFit="1" customWidth="1"/>
    <col min="17" max="17" width="14.75" style="5" customWidth="1"/>
    <col min="18" max="22" width="9" style="5"/>
    <col min="23" max="23" width="9" style="191" customWidth="1"/>
    <col min="24" max="16384" width="9" style="191"/>
  </cols>
  <sheetData>
    <row r="1" spans="1:22" ht="54.95" customHeight="1" x14ac:dyDescent="0.2"/>
    <row r="2" spans="1:22" s="192" customFormat="1" ht="22.5" x14ac:dyDescent="0.3">
      <c r="A2" s="572" t="s">
        <v>3109</v>
      </c>
      <c r="B2" s="1"/>
      <c r="C2" s="1"/>
      <c r="D2" s="1"/>
      <c r="E2" s="1"/>
      <c r="F2" s="1"/>
      <c r="G2" s="1"/>
      <c r="H2" s="1"/>
      <c r="I2" s="1"/>
      <c r="J2" s="1"/>
      <c r="K2" s="1"/>
      <c r="L2" s="1"/>
      <c r="M2" s="1"/>
      <c r="N2" s="1"/>
      <c r="O2" s="1"/>
      <c r="P2" s="1"/>
      <c r="Q2" s="1"/>
      <c r="R2" s="1"/>
      <c r="S2" s="1"/>
      <c r="T2" s="1"/>
      <c r="U2" s="1"/>
      <c r="V2" s="1"/>
    </row>
    <row r="3" spans="1:22" s="193" customFormat="1" ht="15.75" x14ac:dyDescent="0.25">
      <c r="A3" s="573" t="s">
        <v>4297</v>
      </c>
      <c r="B3" s="38">
        <f>'Project Details'!C7</f>
        <v>0</v>
      </c>
      <c r="C3" s="38"/>
      <c r="D3" s="2"/>
      <c r="E3" s="2"/>
      <c r="F3" s="2"/>
      <c r="G3" s="2"/>
      <c r="H3" s="2"/>
      <c r="I3" s="2"/>
      <c r="J3" s="2"/>
      <c r="K3" s="2"/>
      <c r="L3" s="2"/>
      <c r="M3" s="2"/>
      <c r="N3" s="2"/>
      <c r="O3" s="2"/>
      <c r="P3" s="2"/>
      <c r="Q3" s="2"/>
      <c r="R3" s="2"/>
      <c r="S3" s="2"/>
      <c r="T3" s="2"/>
      <c r="U3" s="2"/>
      <c r="V3" s="2"/>
    </row>
    <row r="4" spans="1:22" ht="15" x14ac:dyDescent="0.2">
      <c r="A4" s="27"/>
    </row>
    <row r="5" spans="1:22" ht="18" x14ac:dyDescent="0.25">
      <c r="A5" s="98" t="s">
        <v>3220</v>
      </c>
    </row>
    <row r="6" spans="1:22" ht="14.25" customHeight="1" x14ac:dyDescent="0.25">
      <c r="A6" s="6"/>
      <c r="B6" s="53" t="s">
        <v>4805</v>
      </c>
      <c r="C6" s="54"/>
      <c r="E6" s="574" t="s">
        <v>12</v>
      </c>
      <c r="F6" s="191"/>
      <c r="G6" s="350"/>
      <c r="J6" s="191"/>
      <c r="K6" s="191"/>
    </row>
    <row r="7" spans="1:22" ht="14.25" customHeight="1" x14ac:dyDescent="0.25">
      <c r="A7" s="6"/>
      <c r="B7" s="53" t="s">
        <v>8</v>
      </c>
      <c r="C7" s="163"/>
      <c r="E7" s="574" t="s">
        <v>13</v>
      </c>
      <c r="F7" s="191"/>
      <c r="G7" s="350"/>
      <c r="J7" s="191"/>
      <c r="K7" s="191"/>
    </row>
    <row r="8" spans="1:22" ht="14.25" customHeight="1" x14ac:dyDescent="0.25">
      <c r="A8" s="6"/>
      <c r="B8" s="53" t="s">
        <v>3061</v>
      </c>
      <c r="C8" s="163"/>
      <c r="E8" s="574" t="s">
        <v>14</v>
      </c>
      <c r="F8" s="191"/>
      <c r="G8" s="163"/>
      <c r="J8" s="191"/>
      <c r="K8" s="191"/>
    </row>
    <row r="9" spans="1:22" ht="14.25" customHeight="1" x14ac:dyDescent="0.25">
      <c r="A9" s="6"/>
      <c r="B9" s="53" t="s">
        <v>9</v>
      </c>
      <c r="C9" s="163"/>
      <c r="E9" s="574" t="s">
        <v>15</v>
      </c>
      <c r="F9" s="191"/>
      <c r="G9" s="163"/>
      <c r="J9" s="191"/>
      <c r="K9" s="191"/>
    </row>
    <row r="10" spans="1:22" ht="14.25" customHeight="1" x14ac:dyDescent="0.25">
      <c r="A10" s="6"/>
      <c r="B10" s="574" t="s">
        <v>4163</v>
      </c>
      <c r="C10" s="163"/>
      <c r="E10" s="574" t="s">
        <v>16</v>
      </c>
      <c r="F10" s="191"/>
      <c r="G10" s="163"/>
      <c r="J10" s="191"/>
      <c r="K10" s="191"/>
    </row>
    <row r="11" spans="1:22" ht="14.25" customHeight="1" x14ac:dyDescent="0.25">
      <c r="A11" s="6"/>
      <c r="B11" s="574" t="s">
        <v>4162</v>
      </c>
      <c r="C11" s="163"/>
      <c r="E11" s="574" t="s">
        <v>4111</v>
      </c>
      <c r="F11" s="191"/>
      <c r="G11" s="163"/>
      <c r="J11" s="191"/>
      <c r="K11" s="191"/>
    </row>
    <row r="12" spans="1:22" ht="14.25" customHeight="1" x14ac:dyDescent="0.25">
      <c r="A12" s="6"/>
      <c r="B12" s="53" t="s">
        <v>11</v>
      </c>
      <c r="C12" s="137"/>
      <c r="E12" s="1033" t="s">
        <v>5327</v>
      </c>
      <c r="F12" s="191"/>
      <c r="G12" s="163"/>
      <c r="J12" s="191"/>
      <c r="K12" s="191"/>
    </row>
    <row r="13" spans="1:22" ht="14.25" customHeight="1" x14ac:dyDescent="0.25">
      <c r="A13" s="6"/>
      <c r="B13" s="191"/>
      <c r="C13" s="191"/>
      <c r="E13" s="191"/>
      <c r="F13" s="191"/>
    </row>
    <row r="14" spans="1:22" ht="14.25" customHeight="1" x14ac:dyDescent="0.25">
      <c r="A14" s="6"/>
      <c r="B14" s="712" t="s">
        <v>5174</v>
      </c>
      <c r="C14" s="137"/>
      <c r="E14" s="53" t="s">
        <v>17</v>
      </c>
      <c r="F14" s="191"/>
      <c r="G14" s="472" t="str">
        <f>IFERROR(VLOOKUP(G11,Data!$A$2950:$C$6121,3,FALSE),"")</f>
        <v/>
      </c>
      <c r="H14" s="731"/>
      <c r="I14" s="731"/>
    </row>
    <row r="15" spans="1:22" ht="14.25" customHeight="1" x14ac:dyDescent="0.25">
      <c r="A15" s="6"/>
      <c r="B15" s="53" t="s">
        <v>2958</v>
      </c>
      <c r="C15" s="472" t="str">
        <f>IFERROR(VLOOKUP(G11,Data!$A$5:$E$2950,5,FALSE),"")</f>
        <v/>
      </c>
      <c r="E15" s="53" t="s">
        <v>3931</v>
      </c>
      <c r="F15" s="191"/>
      <c r="G15" s="472" t="str">
        <f>IFERROR(VLOOKUP(C10,Data!$H$5:$I$1201,2,FALSE),"")</f>
        <v/>
      </c>
      <c r="H15" s="731"/>
      <c r="I15" s="731"/>
    </row>
    <row r="16" spans="1:22" ht="14.25" customHeight="1" x14ac:dyDescent="0.25">
      <c r="A16" s="6"/>
      <c r="B16" s="53" t="s">
        <v>4062</v>
      </c>
      <c r="C16" s="575"/>
      <c r="E16" s="53" t="s">
        <v>3901</v>
      </c>
      <c r="F16" s="191"/>
      <c r="G16" s="732"/>
      <c r="H16" s="731"/>
      <c r="I16" s="731"/>
    </row>
    <row r="17" spans="1:9" ht="14.25" customHeight="1" x14ac:dyDescent="0.25">
      <c r="A17" s="6"/>
      <c r="B17" s="53" t="s">
        <v>2959</v>
      </c>
      <c r="C17" s="472" t="str">
        <f>IFERROR(VLOOKUP(G11,Data!$A$5:$F$2950,6,FALSE),"")</f>
        <v/>
      </c>
      <c r="E17" s="191"/>
      <c r="F17" s="191"/>
      <c r="G17" s="191"/>
      <c r="H17" s="731"/>
      <c r="I17" s="731"/>
    </row>
    <row r="18" spans="1:9" ht="14.25" customHeight="1" x14ac:dyDescent="0.25">
      <c r="A18" s="6"/>
      <c r="B18" s="191"/>
      <c r="C18" s="191"/>
      <c r="D18" s="9"/>
      <c r="E18" s="191"/>
      <c r="F18" s="191"/>
      <c r="G18" s="191"/>
      <c r="H18" s="731"/>
      <c r="I18" s="731"/>
    </row>
    <row r="19" spans="1:9" ht="14.25" customHeight="1" x14ac:dyDescent="0.25">
      <c r="A19" s="98" t="s">
        <v>3592</v>
      </c>
      <c r="B19" s="191"/>
      <c r="C19" s="191"/>
      <c r="D19" s="9"/>
      <c r="E19" s="37"/>
    </row>
    <row r="20" spans="1:9" ht="14.25" customHeight="1" x14ac:dyDescent="0.25">
      <c r="A20" s="98"/>
      <c r="B20" s="191" t="s">
        <v>4815</v>
      </c>
      <c r="C20" s="576"/>
      <c r="D20" s="191"/>
      <c r="E20" s="53" t="str">
        <f>IF(OR(C20="9% Competitive",C20="Bond Gap Financing"),"Proposal or Final Application?","")</f>
        <v/>
      </c>
      <c r="F20" s="191"/>
      <c r="G20" s="843" t="s">
        <v>4005</v>
      </c>
    </row>
    <row r="21" spans="1:9" ht="14.25" customHeight="1" x14ac:dyDescent="0.25">
      <c r="A21" s="98"/>
      <c r="B21" s="53" t="s">
        <v>3912</v>
      </c>
      <c r="C21" s="949" t="str">
        <f>IF(OR(C20="9% Competitive",C20="FHAct50"),"9% HTC",IF(OR(C20="4% HTC Only",C20="Bond Gap Financing",C20="CDBG-DR"),"4% HTC", IF(OR(C20="Bonds only",C20="HDGF"),"No HTC","")))</f>
        <v/>
      </c>
      <c r="D21" s="9"/>
      <c r="E21" s="37"/>
    </row>
    <row r="22" spans="1:9" ht="14.25" customHeight="1" x14ac:dyDescent="0.25">
      <c r="A22" s="98"/>
      <c r="B22" s="53" t="s">
        <v>5180</v>
      </c>
      <c r="C22" s="1084"/>
      <c r="D22" s="1085"/>
      <c r="E22"/>
    </row>
    <row r="23" spans="1:9" ht="14.25" customHeight="1" x14ac:dyDescent="0.25">
      <c r="A23" s="98"/>
      <c r="B23" s="53" t="s">
        <v>5329</v>
      </c>
      <c r="C23" s="1086"/>
      <c r="D23" s="1087"/>
      <c r="E23" s="1088"/>
      <c r="F23" s="1089" t="str">
        <f>IFERROR(IF(AND(#REF!="General Occupancy: Revitalization Area",G14="No"),"Must be in QCT to Qualify for Set Aside",(IF(AND(#REF!="Permanent Supportive Housing: Transition Aged Youth ",C12="Franklin"),"TAY cannot be in Franklin County in 2019",""))),"")</f>
        <v/>
      </c>
      <c r="G23" s="1089"/>
      <c r="H23" s="1089"/>
      <c r="I23" s="191"/>
    </row>
    <row r="24" spans="1:9" ht="14.25" customHeight="1" x14ac:dyDescent="0.2">
      <c r="A24" s="191"/>
      <c r="B24" s="191"/>
      <c r="C24" s="191"/>
    </row>
    <row r="25" spans="1:9" ht="14.25" customHeight="1" x14ac:dyDescent="0.25">
      <c r="A25" s="98" t="s">
        <v>4816</v>
      </c>
      <c r="B25" s="191"/>
      <c r="C25" s="191"/>
    </row>
    <row r="26" spans="1:9" ht="14.25" customHeight="1" x14ac:dyDescent="0.25">
      <c r="A26" s="98"/>
      <c r="B26" s="53" t="s">
        <v>4838</v>
      </c>
      <c r="C26" s="137"/>
      <c r="E26" s="471" t="s">
        <v>4878</v>
      </c>
      <c r="F26" s="191"/>
      <c r="G26" s="191"/>
    </row>
    <row r="27" spans="1:9" ht="14.25" customHeight="1" x14ac:dyDescent="0.25">
      <c r="A27" s="98"/>
      <c r="B27" s="53" t="s">
        <v>4837</v>
      </c>
      <c r="C27" s="137"/>
      <c r="E27" s="791" t="s">
        <v>3123</v>
      </c>
      <c r="F27" s="191"/>
      <c r="G27" s="137"/>
    </row>
    <row r="28" spans="1:9" ht="14.25" customHeight="1" x14ac:dyDescent="0.25">
      <c r="A28" s="98"/>
      <c r="B28" s="53" t="s">
        <v>4811</v>
      </c>
      <c r="C28" s="576"/>
      <c r="D28" s="191"/>
      <c r="E28" s="792" t="s">
        <v>4879</v>
      </c>
      <c r="F28" s="191"/>
      <c r="G28" s="137"/>
    </row>
    <row r="29" spans="1:9" ht="14.25" customHeight="1" x14ac:dyDescent="0.25">
      <c r="A29" s="98"/>
      <c r="B29" s="53" t="s">
        <v>4812</v>
      </c>
      <c r="C29" s="576"/>
      <c r="D29" s="191"/>
      <c r="E29" s="792" t="s">
        <v>4880</v>
      </c>
      <c r="F29" s="191"/>
      <c r="G29" s="137"/>
    </row>
    <row r="30" spans="1:9" ht="14.25" customHeight="1" x14ac:dyDescent="0.25">
      <c r="A30" s="98"/>
      <c r="B30" s="53" t="s">
        <v>4813</v>
      </c>
      <c r="C30" s="711"/>
      <c r="D30" s="191"/>
      <c r="E30" s="53" t="s">
        <v>4038</v>
      </c>
      <c r="F30" s="191"/>
      <c r="G30" s="137"/>
    </row>
    <row r="31" spans="1:9" ht="14.25" customHeight="1" x14ac:dyDescent="0.25">
      <c r="A31" s="98"/>
      <c r="B31" s="53" t="s">
        <v>4296</v>
      </c>
      <c r="C31" s="137"/>
      <c r="D31" s="191"/>
      <c r="E31" s="53" t="s">
        <v>4173</v>
      </c>
      <c r="F31" s="191"/>
      <c r="G31" s="163"/>
    </row>
    <row r="32" spans="1:9" ht="14.25" customHeight="1" x14ac:dyDescent="0.25">
      <c r="A32" s="98"/>
      <c r="B32" s="191"/>
      <c r="C32" s="191"/>
      <c r="D32" s="191"/>
      <c r="E32" s="53" t="s">
        <v>4814</v>
      </c>
      <c r="F32" s="191"/>
      <c r="G32" s="137"/>
    </row>
    <row r="33" spans="1:9" ht="14.25" customHeight="1" x14ac:dyDescent="0.25">
      <c r="A33" s="98"/>
      <c r="B33" s="191"/>
      <c r="C33" s="191"/>
      <c r="D33" s="191"/>
      <c r="E33" s="191"/>
      <c r="F33" s="191"/>
      <c r="G33" s="191"/>
    </row>
    <row r="34" spans="1:9" ht="18" x14ac:dyDescent="0.25">
      <c r="A34" s="98" t="s">
        <v>3541</v>
      </c>
    </row>
    <row r="35" spans="1:9" x14ac:dyDescent="0.2">
      <c r="A35" s="49"/>
      <c r="B35" s="53" t="s">
        <v>4209</v>
      </c>
      <c r="C35" s="175"/>
      <c r="D35" s="49"/>
      <c r="E35" s="53" t="str">
        <f>IF(C35="Yes","Year HDAP Awarded","")</f>
        <v/>
      </c>
      <c r="F35" s="191"/>
      <c r="G35" s="178"/>
      <c r="H35" s="49"/>
      <c r="I35" s="49"/>
    </row>
    <row r="36" spans="1:9" ht="15" x14ac:dyDescent="0.25">
      <c r="A36" s="49"/>
      <c r="B36" s="53" t="s">
        <v>4230</v>
      </c>
      <c r="C36" s="175"/>
      <c r="D36" s="49"/>
      <c r="E36" s="53" t="str">
        <f>IF(C36="Yes","Year Applied for HTC","")</f>
        <v/>
      </c>
      <c r="F36" s="191"/>
      <c r="G36" s="178"/>
      <c r="H36" s="49"/>
      <c r="I36" s="49"/>
    </row>
    <row r="37" spans="1:9" ht="15" x14ac:dyDescent="0.25">
      <c r="A37" s="49"/>
      <c r="B37" s="53" t="s">
        <v>4231</v>
      </c>
      <c r="C37" s="175"/>
      <c r="D37" s="49"/>
      <c r="E37" s="5" t="str">
        <f>IF(C39="Yes","HTC Allocation Year","")</f>
        <v/>
      </c>
      <c r="F37" s="191"/>
      <c r="G37" s="178"/>
      <c r="H37" s="49"/>
      <c r="I37" s="49"/>
    </row>
    <row r="38" spans="1:9" x14ac:dyDescent="0.2">
      <c r="A38" s="49"/>
      <c r="B38" s="53" t="s">
        <v>4232</v>
      </c>
      <c r="C38" s="177"/>
      <c r="D38" s="49"/>
      <c r="E38" s="5" t="str">
        <f>IF(C39="Yes","BIN#(s)","")</f>
        <v/>
      </c>
      <c r="F38" s="191"/>
      <c r="G38" s="179"/>
      <c r="H38" s="49"/>
      <c r="I38" s="49"/>
    </row>
    <row r="39" spans="1:9" ht="15" x14ac:dyDescent="0.25">
      <c r="A39" s="49"/>
      <c r="B39" s="53" t="s">
        <v>4210</v>
      </c>
      <c r="C39" s="175"/>
      <c r="D39" s="713"/>
      <c r="E39" s="5" t="str">
        <f>IF(C39="Yes","PIS Date","")</f>
        <v/>
      </c>
      <c r="F39" s="191"/>
      <c r="G39" s="178"/>
      <c r="H39" s="49"/>
      <c r="I39" s="49"/>
    </row>
    <row r="40" spans="1:9" x14ac:dyDescent="0.2">
      <c r="A40" s="49"/>
      <c r="B40" s="191" t="s">
        <v>5198</v>
      </c>
      <c r="C40" s="190"/>
      <c r="D40" s="49"/>
      <c r="E40" s="5" t="str">
        <f>IF(C39="Yes","Prior Owner","")</f>
        <v/>
      </c>
      <c r="F40" s="191"/>
      <c r="G40" s="180"/>
      <c r="H40" s="49"/>
      <c r="I40" s="49"/>
    </row>
    <row r="41" spans="1:9" x14ac:dyDescent="0.2">
      <c r="B41" s="191" t="s">
        <v>5197</v>
      </c>
      <c r="E41" s="5" t="str">
        <f>IF(C39="Yes","Prior Manager","")</f>
        <v/>
      </c>
      <c r="F41" s="191"/>
      <c r="G41" s="178"/>
    </row>
    <row r="42" spans="1:9" x14ac:dyDescent="0.2">
      <c r="B42" s="191"/>
      <c r="C42" s="191"/>
      <c r="E42" s="5" t="str">
        <f>IF(C39="Yes","Previous Acquisition Basis","")</f>
        <v/>
      </c>
      <c r="F42" s="191"/>
      <c r="G42" s="1029"/>
    </row>
    <row r="43" spans="1:9" x14ac:dyDescent="0.2">
      <c r="B43" s="191"/>
      <c r="C43" s="191"/>
      <c r="E43" s="5" t="str">
        <f>IF(C39="Yes","Previous Rehabilitation Basis","")</f>
        <v/>
      </c>
      <c r="F43" s="191"/>
      <c r="G43" s="1029"/>
    </row>
    <row r="44" spans="1:9" x14ac:dyDescent="0.2">
      <c r="B44" s="191"/>
      <c r="C44" s="191"/>
      <c r="E44" s="5" t="str">
        <f>IF(C39="Yes","Previous New Construction Basis","")</f>
        <v/>
      </c>
      <c r="F44" s="191"/>
      <c r="G44" s="1029"/>
    </row>
    <row r="45" spans="1:9" x14ac:dyDescent="0.2">
      <c r="B45" s="191"/>
      <c r="C45" s="191"/>
    </row>
    <row r="46" spans="1:9" ht="17.25" customHeight="1" x14ac:dyDescent="0.25">
      <c r="A46" s="577" t="s">
        <v>4817</v>
      </c>
      <c r="B46" s="354"/>
      <c r="C46" s="354"/>
      <c r="D46" s="354"/>
      <c r="E46" s="354"/>
      <c r="F46" s="354"/>
      <c r="G46" s="354"/>
      <c r="H46" s="355"/>
    </row>
    <row r="47" spans="1:9" ht="15" x14ac:dyDescent="0.25">
      <c r="A47" s="578" t="s">
        <v>4373</v>
      </c>
      <c r="B47" s="184"/>
      <c r="C47" s="184"/>
      <c r="D47" s="184"/>
      <c r="E47" s="184"/>
      <c r="F47" s="184"/>
      <c r="G47" s="184"/>
      <c r="H47" s="357"/>
    </row>
    <row r="48" spans="1:9" ht="15" x14ac:dyDescent="0.25">
      <c r="A48" s="356" t="s">
        <v>5192</v>
      </c>
      <c r="B48" s="184"/>
      <c r="C48" s="184"/>
      <c r="D48" s="184"/>
      <c r="E48" s="184"/>
      <c r="F48" s="184"/>
      <c r="G48" s="184"/>
      <c r="H48" s="357"/>
    </row>
    <row r="49" spans="1:8" ht="15" x14ac:dyDescent="0.25">
      <c r="A49" s="356"/>
      <c r="B49" s="184"/>
      <c r="C49" s="184"/>
      <c r="D49" s="184"/>
      <c r="E49" s="184"/>
      <c r="F49" s="184"/>
      <c r="G49" s="184"/>
      <c r="H49" s="357"/>
    </row>
    <row r="50" spans="1:8" ht="15" x14ac:dyDescent="0.25">
      <c r="A50" s="356"/>
      <c r="B50" s="184" t="s">
        <v>4839</v>
      </c>
      <c r="C50" s="137"/>
      <c r="D50" s="184" t="s">
        <v>4840</v>
      </c>
      <c r="E50" s="184"/>
      <c r="F50" s="184"/>
      <c r="G50" s="171"/>
      <c r="H50" s="357"/>
    </row>
    <row r="51" spans="1:8" ht="14.25" customHeight="1" x14ac:dyDescent="0.2">
      <c r="A51" s="358"/>
      <c r="B51" s="733" t="s">
        <v>4841</v>
      </c>
      <c r="C51" s="733"/>
      <c r="D51" s="579"/>
      <c r="E51" s="184"/>
      <c r="F51" s="184"/>
      <c r="G51" s="137"/>
      <c r="H51" s="357"/>
    </row>
    <row r="52" spans="1:8" x14ac:dyDescent="0.2">
      <c r="A52" s="358"/>
      <c r="B52" s="734" t="s">
        <v>4842</v>
      </c>
      <c r="C52" s="735"/>
      <c r="D52" s="579"/>
      <c r="E52" s="184"/>
      <c r="F52" s="184"/>
      <c r="G52" s="184"/>
      <c r="H52" s="357"/>
    </row>
    <row r="53" spans="1:8" x14ac:dyDescent="0.2">
      <c r="A53" s="358"/>
      <c r="B53" s="186" t="s">
        <v>4534</v>
      </c>
      <c r="C53" s="137"/>
      <c r="D53" s="184"/>
      <c r="E53" s="184"/>
      <c r="F53" s="184"/>
      <c r="G53" s="184"/>
      <c r="H53" s="357"/>
    </row>
    <row r="54" spans="1:8" x14ac:dyDescent="0.2">
      <c r="A54" s="358"/>
      <c r="B54" s="186" t="s">
        <v>4553</v>
      </c>
      <c r="C54" s="137"/>
      <c r="D54" s="184"/>
      <c r="E54" s="184"/>
      <c r="F54" s="184"/>
      <c r="G54" s="184"/>
      <c r="H54" s="357"/>
    </row>
    <row r="55" spans="1:8" x14ac:dyDescent="0.2">
      <c r="A55" s="358"/>
      <c r="B55" s="186" t="s">
        <v>3597</v>
      </c>
      <c r="C55" s="137"/>
      <c r="D55" s="184"/>
      <c r="E55" s="184"/>
      <c r="F55" s="184"/>
      <c r="G55" s="184"/>
      <c r="H55" s="357"/>
    </row>
    <row r="56" spans="1:8" x14ac:dyDescent="0.2">
      <c r="A56" s="358"/>
      <c r="B56" s="186" t="s">
        <v>4110</v>
      </c>
      <c r="C56" s="137"/>
      <c r="D56" s="184"/>
      <c r="E56" s="184"/>
      <c r="F56" s="184"/>
      <c r="G56" s="184"/>
      <c r="H56" s="357"/>
    </row>
    <row r="57" spans="1:8" x14ac:dyDescent="0.2">
      <c r="A57" s="358"/>
      <c r="B57" s="186" t="s">
        <v>4533</v>
      </c>
      <c r="C57" s="137"/>
      <c r="D57" s="184"/>
      <c r="E57" s="184"/>
      <c r="F57" s="184"/>
      <c r="G57" s="184"/>
      <c r="H57" s="357"/>
    </row>
    <row r="58" spans="1:8" x14ac:dyDescent="0.2">
      <c r="A58" s="358"/>
      <c r="B58" s="186" t="s">
        <v>4535</v>
      </c>
      <c r="C58" s="137"/>
      <c r="D58" s="359" t="s">
        <v>4536</v>
      </c>
      <c r="E58" s="1082"/>
      <c r="F58" s="1082"/>
      <c r="G58" s="1082"/>
      <c r="H58" s="357"/>
    </row>
    <row r="59" spans="1:8" ht="15" x14ac:dyDescent="0.25">
      <c r="A59" s="363"/>
      <c r="B59" s="361"/>
      <c r="C59" s="361"/>
      <c r="D59" s="361"/>
      <c r="E59" s="361"/>
      <c r="F59" s="361"/>
      <c r="G59" s="361"/>
      <c r="H59" s="362"/>
    </row>
    <row r="60" spans="1:8" ht="14.25" customHeight="1" x14ac:dyDescent="0.25">
      <c r="A60" s="98"/>
      <c r="B60" s="191"/>
      <c r="C60" s="191"/>
    </row>
    <row r="61" spans="1:8" ht="18" x14ac:dyDescent="0.25">
      <c r="A61" s="98" t="s">
        <v>3110</v>
      </c>
    </row>
    <row r="62" spans="1:8" ht="15" x14ac:dyDescent="0.25">
      <c r="B62" s="53" t="s">
        <v>3111</v>
      </c>
      <c r="C62" s="580">
        <f>C27</f>
        <v>0</v>
      </c>
      <c r="F62" s="136" t="s">
        <v>4554</v>
      </c>
    </row>
    <row r="63" spans="1:8" x14ac:dyDescent="0.2">
      <c r="B63" s="574" t="s">
        <v>4174</v>
      </c>
      <c r="C63" s="8"/>
      <c r="D63" s="37" t="s">
        <v>3933</v>
      </c>
      <c r="E63" s="8"/>
      <c r="F63" s="37" t="s">
        <v>3126</v>
      </c>
      <c r="G63" s="137"/>
    </row>
    <row r="64" spans="1:8" ht="14.25" customHeight="1" x14ac:dyDescent="0.2">
      <c r="B64" s="53" t="s">
        <v>3115</v>
      </c>
      <c r="C64" s="137"/>
      <c r="D64" s="37" t="s">
        <v>4039</v>
      </c>
      <c r="E64" s="55"/>
      <c r="F64" s="37" t="s">
        <v>3126</v>
      </c>
      <c r="G64" s="137"/>
    </row>
    <row r="65" spans="1:22" x14ac:dyDescent="0.2">
      <c r="B65" s="53" t="s">
        <v>3116</v>
      </c>
      <c r="C65" s="137"/>
      <c r="D65" s="37" t="s">
        <v>4039</v>
      </c>
      <c r="E65" s="416">
        <f>'Budget &amp; Costs'!D69</f>
        <v>0</v>
      </c>
      <c r="F65" s="37" t="s">
        <v>3126</v>
      </c>
      <c r="G65" s="137"/>
    </row>
    <row r="66" spans="1:22" x14ac:dyDescent="0.2">
      <c r="B66" s="53" t="s">
        <v>3112</v>
      </c>
      <c r="C66" s="137"/>
      <c r="D66" s="37" t="s">
        <v>4039</v>
      </c>
      <c r="E66" s="55"/>
      <c r="F66" s="37" t="s">
        <v>3126</v>
      </c>
      <c r="G66" s="137"/>
    </row>
    <row r="67" spans="1:22" ht="14.25" customHeight="1" x14ac:dyDescent="0.25">
      <c r="A67" s="98"/>
      <c r="B67" s="191"/>
      <c r="C67" s="191"/>
    </row>
    <row r="68" spans="1:22" ht="14.25" customHeight="1" x14ac:dyDescent="0.25">
      <c r="A68" s="98"/>
      <c r="B68" s="191"/>
      <c r="C68" s="191"/>
    </row>
    <row r="70" spans="1:22" ht="17.25" customHeight="1" x14ac:dyDescent="0.25">
      <c r="A70" s="577" t="s">
        <v>4843</v>
      </c>
      <c r="B70" s="354"/>
      <c r="C70" s="354"/>
      <c r="D70" s="354"/>
      <c r="E70" s="354"/>
      <c r="F70" s="354"/>
      <c r="G70" s="354"/>
      <c r="H70" s="355"/>
    </row>
    <row r="71" spans="1:22" ht="15" x14ac:dyDescent="0.25">
      <c r="A71" s="578" t="s">
        <v>4845</v>
      </c>
      <c r="B71" s="184"/>
      <c r="C71" s="184"/>
      <c r="D71" s="184"/>
      <c r="E71" s="184"/>
      <c r="F71" s="184"/>
      <c r="G71" s="184"/>
      <c r="H71" s="357"/>
    </row>
    <row r="72" spans="1:22" ht="15" x14ac:dyDescent="0.25">
      <c r="A72" s="578"/>
      <c r="B72" s="737" t="s">
        <v>4844</v>
      </c>
      <c r="C72" s="184"/>
      <c r="D72" s="184"/>
      <c r="E72" s="184"/>
      <c r="F72" s="184"/>
      <c r="G72" s="184"/>
      <c r="H72" s="357"/>
    </row>
    <row r="73" spans="1:22" x14ac:dyDescent="0.2">
      <c r="A73" s="358"/>
      <c r="B73" s="186" t="s">
        <v>3594</v>
      </c>
      <c r="C73" s="137"/>
      <c r="D73" s="359" t="s">
        <v>4086</v>
      </c>
      <c r="E73" s="1082"/>
      <c r="F73" s="1082"/>
      <c r="G73" s="1082"/>
      <c r="H73" s="357"/>
    </row>
    <row r="74" spans="1:22" x14ac:dyDescent="0.2">
      <c r="A74" s="358"/>
      <c r="B74" s="186" t="s">
        <v>3595</v>
      </c>
      <c r="C74" s="137"/>
      <c r="D74" s="359" t="s">
        <v>4086</v>
      </c>
      <c r="E74" s="1082"/>
      <c r="F74" s="1082"/>
      <c r="G74" s="1082"/>
      <c r="H74" s="357"/>
    </row>
    <row r="75" spans="1:22" x14ac:dyDescent="0.2">
      <c r="A75" s="358"/>
      <c r="B75" s="186" t="s">
        <v>3596</v>
      </c>
      <c r="C75" s="137"/>
      <c r="D75" s="359" t="s">
        <v>4086</v>
      </c>
      <c r="E75" s="1082"/>
      <c r="F75" s="1082"/>
      <c r="G75" s="1082"/>
      <c r="H75" s="357"/>
    </row>
    <row r="76" spans="1:22" ht="15" x14ac:dyDescent="0.25">
      <c r="A76" s="578"/>
      <c r="B76" s="736" t="s">
        <v>4846</v>
      </c>
      <c r="C76" s="184"/>
      <c r="D76" s="359"/>
      <c r="E76" s="184"/>
      <c r="F76" s="184"/>
      <c r="G76" s="184"/>
      <c r="H76" s="357"/>
    </row>
    <row r="77" spans="1:22" x14ac:dyDescent="0.2">
      <c r="A77" s="358"/>
      <c r="B77" s="186" t="s">
        <v>4847</v>
      </c>
      <c r="C77" s="137"/>
      <c r="D77" s="359" t="s">
        <v>4536</v>
      </c>
      <c r="E77" s="1082"/>
      <c r="F77" s="1082"/>
      <c r="G77" s="1082"/>
      <c r="H77" s="357"/>
    </row>
    <row r="78" spans="1:22" x14ac:dyDescent="0.2">
      <c r="A78" s="358"/>
      <c r="B78" s="186" t="s">
        <v>4409</v>
      </c>
      <c r="C78" s="137"/>
      <c r="D78" s="359"/>
      <c r="E78" s="184"/>
      <c r="F78" s="184"/>
      <c r="G78" s="184"/>
      <c r="H78" s="357"/>
    </row>
    <row r="79" spans="1:22" x14ac:dyDescent="0.2">
      <c r="A79" s="360"/>
      <c r="B79" s="361"/>
      <c r="C79" s="361"/>
      <c r="D79" s="361"/>
      <c r="E79" s="361"/>
      <c r="F79" s="361"/>
      <c r="G79" s="361"/>
      <c r="H79" s="362"/>
    </row>
    <row r="80" spans="1:22" s="348" customFormat="1" x14ac:dyDescent="0.2">
      <c r="A80"/>
      <c r="B80"/>
      <c r="C80"/>
      <c r="D80"/>
      <c r="E80"/>
      <c r="F80"/>
      <c r="G80"/>
      <c r="H80"/>
      <c r="I80"/>
      <c r="J80"/>
      <c r="K80"/>
      <c r="L80"/>
      <c r="M80"/>
      <c r="N80"/>
      <c r="O80"/>
      <c r="P80"/>
      <c r="Q80"/>
      <c r="R80"/>
      <c r="S80"/>
      <c r="T80"/>
      <c r="U80"/>
      <c r="V80"/>
    </row>
    <row r="82" spans="1:23" ht="18" x14ac:dyDescent="0.25">
      <c r="A82" s="6" t="s">
        <v>3118</v>
      </c>
    </row>
    <row r="83" spans="1:23" ht="30" customHeight="1" x14ac:dyDescent="0.2">
      <c r="A83" s="1083" t="s">
        <v>3141</v>
      </c>
      <c r="B83" s="1083"/>
      <c r="C83" s="1083"/>
      <c r="D83" s="1083"/>
      <c r="E83" s="1083"/>
      <c r="F83" s="1083"/>
      <c r="G83" s="1083"/>
      <c r="H83" s="1083"/>
      <c r="I83" s="1083"/>
      <c r="J83" s="1083"/>
      <c r="K83" s="26"/>
    </row>
    <row r="84" spans="1:23" x14ac:dyDescent="0.2">
      <c r="A84" s="19"/>
      <c r="B84" s="19"/>
      <c r="C84" s="19"/>
      <c r="D84" s="19"/>
      <c r="E84" s="19"/>
      <c r="F84" s="19"/>
      <c r="G84" s="19"/>
      <c r="H84" s="19"/>
      <c r="I84" s="19"/>
      <c r="J84" s="19"/>
      <c r="K84" s="20"/>
    </row>
    <row r="85" spans="1:23" ht="14.25" customHeight="1" x14ac:dyDescent="0.2">
      <c r="A85" s="1083" t="s">
        <v>4183</v>
      </c>
      <c r="B85" s="1083"/>
      <c r="C85" s="1083"/>
      <c r="D85" s="1083"/>
      <c r="E85" s="1083"/>
      <c r="F85" s="1083"/>
      <c r="G85" s="1083"/>
      <c r="H85" s="1083"/>
      <c r="I85" s="1083"/>
      <c r="J85" s="1083"/>
      <c r="K85" s="20"/>
    </row>
    <row r="86" spans="1:23" ht="45" x14ac:dyDescent="0.2">
      <c r="A86" s="581" t="s">
        <v>3393</v>
      </c>
      <c r="B86" s="581" t="s">
        <v>4043</v>
      </c>
      <c r="C86" s="581" t="s">
        <v>4087</v>
      </c>
      <c r="D86" s="57" t="s">
        <v>4095</v>
      </c>
      <c r="E86" s="415" t="s">
        <v>3119</v>
      </c>
      <c r="F86" s="582" t="s">
        <v>3395</v>
      </c>
      <c r="G86" s="57" t="s">
        <v>4088</v>
      </c>
      <c r="H86" s="57" t="s">
        <v>3120</v>
      </c>
      <c r="I86" s="57" t="s">
        <v>3550</v>
      </c>
      <c r="J86" s="57" t="s">
        <v>3130</v>
      </c>
      <c r="K86" s="57" t="s">
        <v>4410</v>
      </c>
      <c r="L86" s="581" t="s">
        <v>4096</v>
      </c>
      <c r="M86" s="57" t="s">
        <v>4097</v>
      </c>
      <c r="N86" s="581" t="s">
        <v>3129</v>
      </c>
      <c r="O86" s="581" t="s">
        <v>3140</v>
      </c>
      <c r="P86" s="581" t="s">
        <v>3149</v>
      </c>
      <c r="Q86" s="581" t="s">
        <v>3394</v>
      </c>
      <c r="R86" s="57" t="s">
        <v>4161</v>
      </c>
      <c r="S86" s="57" t="s">
        <v>3133</v>
      </c>
      <c r="T86" s="57" t="s">
        <v>3142</v>
      </c>
      <c r="U86" s="57" t="s">
        <v>3143</v>
      </c>
      <c r="V86" s="57" t="s">
        <v>3144</v>
      </c>
      <c r="W86" s="57" t="s">
        <v>4089</v>
      </c>
    </row>
    <row r="87" spans="1:23" x14ac:dyDescent="0.2">
      <c r="A87" s="17">
        <v>1</v>
      </c>
      <c r="B87" s="165"/>
      <c r="C87" s="165"/>
      <c r="D87" s="351"/>
      <c r="E87" s="167"/>
      <c r="F87" s="168"/>
      <c r="G87" s="947"/>
      <c r="H87" s="169"/>
      <c r="I87" s="17" t="e">
        <f>IF(VLOOKUP(C87,Data!H5:I1201,2,FALSE)="Yes","Yes",IF(VLOOKUP(G87,Data!$A$5:$C$2950,3,FALSE)="Yes","Yes","No"))</f>
        <v>#N/A</v>
      </c>
      <c r="J87" s="170"/>
      <c r="K87" s="170"/>
      <c r="L87" s="171"/>
      <c r="M87" s="171"/>
      <c r="N87" s="172"/>
      <c r="O87" s="172"/>
      <c r="P87" s="171"/>
      <c r="Q87" s="172"/>
      <c r="R87" s="173"/>
      <c r="S87" s="173"/>
      <c r="T87" s="173"/>
      <c r="U87" s="173"/>
      <c r="V87" s="173"/>
      <c r="W87" s="173"/>
    </row>
    <row r="88" spans="1:23" x14ac:dyDescent="0.2">
      <c r="A88" s="17">
        <v>2</v>
      </c>
      <c r="B88" s="165"/>
      <c r="C88" s="165"/>
      <c r="D88" s="351"/>
      <c r="E88" s="167"/>
      <c r="F88" s="168"/>
      <c r="G88" s="947"/>
      <c r="H88" s="169"/>
      <c r="I88" s="17" t="e">
        <f>IF(VLOOKUP(C88,Data!H5:I1201,2,FALSE)="Yes","Yes",IF(VLOOKUP(G88,Data!$A$5:$C$2950,3,FALSE)="Yes","Yes","No"))</f>
        <v>#N/A</v>
      </c>
      <c r="J88" s="170"/>
      <c r="K88" s="170"/>
      <c r="L88" s="171"/>
      <c r="M88" s="171"/>
      <c r="N88" s="172"/>
      <c r="O88" s="172"/>
      <c r="P88" s="171"/>
      <c r="Q88" s="172"/>
      <c r="R88" s="173"/>
      <c r="S88" s="173"/>
      <c r="T88" s="173"/>
      <c r="U88" s="173"/>
      <c r="V88" s="173"/>
      <c r="W88" s="173"/>
    </row>
    <row r="89" spans="1:23" x14ac:dyDescent="0.2">
      <c r="A89" s="17">
        <v>3</v>
      </c>
      <c r="B89" s="165"/>
      <c r="C89" s="165"/>
      <c r="D89" s="351"/>
      <c r="E89" s="167"/>
      <c r="F89" s="168"/>
      <c r="G89" s="407"/>
      <c r="H89" s="169"/>
      <c r="I89" s="17" t="e">
        <f>IF(VLOOKUP(C89,Data!H5:I1201,2,FALSE)="Yes","Yes",IF(VLOOKUP(G89,Data!$A$5:$C$2950,3,FALSE)="Yes","Yes","No"))</f>
        <v>#N/A</v>
      </c>
      <c r="J89" s="170"/>
      <c r="K89" s="170"/>
      <c r="L89" s="171"/>
      <c r="M89" s="171"/>
      <c r="N89" s="172"/>
      <c r="O89" s="172"/>
      <c r="P89" s="171"/>
      <c r="Q89" s="172"/>
      <c r="R89" s="173"/>
      <c r="S89" s="173"/>
      <c r="T89" s="173"/>
      <c r="U89" s="173"/>
      <c r="V89" s="173"/>
      <c r="W89" s="173"/>
    </row>
    <row r="90" spans="1:23" x14ac:dyDescent="0.2">
      <c r="A90" s="17">
        <v>4</v>
      </c>
      <c r="B90" s="165"/>
      <c r="C90" s="165"/>
      <c r="D90" s="351"/>
      <c r="E90" s="167"/>
      <c r="F90" s="168"/>
      <c r="G90" s="407"/>
      <c r="H90" s="169"/>
      <c r="I90" s="17" t="e">
        <f>IF(VLOOKUP(C90,Data!H5:I1201,2,FALSE)="Yes","Yes",IF(VLOOKUP(G90,Data!$A$5:$C$2950,3,FALSE)="Yes","Yes","No"))</f>
        <v>#N/A</v>
      </c>
      <c r="J90" s="170"/>
      <c r="K90" s="170"/>
      <c r="L90" s="171"/>
      <c r="M90" s="171"/>
      <c r="N90" s="172"/>
      <c r="O90" s="172"/>
      <c r="P90" s="171"/>
      <c r="Q90" s="172"/>
      <c r="R90" s="173"/>
      <c r="S90" s="173"/>
      <c r="T90" s="173"/>
      <c r="U90" s="173"/>
      <c r="V90" s="173"/>
      <c r="W90" s="173"/>
    </row>
    <row r="91" spans="1:23" x14ac:dyDescent="0.2">
      <c r="A91" s="17">
        <v>5</v>
      </c>
      <c r="B91" s="165" t="s">
        <v>4169</v>
      </c>
      <c r="C91" s="165"/>
      <c r="D91" s="351"/>
      <c r="E91" s="167"/>
      <c r="F91" s="168"/>
      <c r="G91" s="407"/>
      <c r="H91" s="169"/>
      <c r="I91" s="17" t="e">
        <f>IF(VLOOKUP(C91,Data!H5:I1201,2,FALSE)="Yes","Yes",IF(VLOOKUP(G91,Data!$A$5:$C$2950,3,FALSE)="Yes","Yes","No"))</f>
        <v>#N/A</v>
      </c>
      <c r="J91" s="170"/>
      <c r="K91" s="170"/>
      <c r="L91" s="171"/>
      <c r="M91" s="171"/>
      <c r="N91" s="172"/>
      <c r="O91" s="172"/>
      <c r="P91" s="171"/>
      <c r="Q91" s="172"/>
      <c r="R91" s="173"/>
      <c r="S91" s="173"/>
      <c r="T91" s="173"/>
      <c r="U91" s="173"/>
      <c r="V91" s="173"/>
      <c r="W91" s="173"/>
    </row>
    <row r="92" spans="1:23" x14ac:dyDescent="0.2">
      <c r="A92" s="17">
        <v>6</v>
      </c>
      <c r="B92" s="165"/>
      <c r="C92" s="165"/>
      <c r="D92" s="351"/>
      <c r="E92" s="167"/>
      <c r="F92" s="168"/>
      <c r="G92" s="407"/>
      <c r="H92" s="169"/>
      <c r="I92" s="17" t="e">
        <f>IF(VLOOKUP(C92,Data!H5:I1201,2,FALSE)="Yes","Yes",IF(VLOOKUP(G92,Data!$A$5:$C$2950,3,FALSE)="Yes","Yes","No"))</f>
        <v>#N/A</v>
      </c>
      <c r="J92" s="170"/>
      <c r="K92" s="170"/>
      <c r="L92" s="171"/>
      <c r="M92" s="171"/>
      <c r="N92" s="172"/>
      <c r="O92" s="172"/>
      <c r="P92" s="171"/>
      <c r="Q92" s="172"/>
      <c r="R92" s="173"/>
      <c r="S92" s="173"/>
      <c r="T92" s="173"/>
      <c r="U92" s="173"/>
      <c r="V92" s="173"/>
      <c r="W92" s="173"/>
    </row>
    <row r="93" spans="1:23" x14ac:dyDescent="0.2">
      <c r="A93" s="17">
        <v>7</v>
      </c>
      <c r="B93" s="165"/>
      <c r="C93" s="165"/>
      <c r="D93" s="351"/>
      <c r="E93" s="167"/>
      <c r="F93" s="168"/>
      <c r="G93" s="407"/>
      <c r="H93" s="169"/>
      <c r="I93" s="17" t="e">
        <f>IF(VLOOKUP(C93,Data!H5:I1201,2,FALSE)="Yes","Yes",IF(VLOOKUP(G93,Data!$A$5:$C$2950,3,FALSE)="Yes","Yes","No"))</f>
        <v>#N/A</v>
      </c>
      <c r="J93" s="170"/>
      <c r="K93" s="170"/>
      <c r="L93" s="171"/>
      <c r="M93" s="171"/>
      <c r="N93" s="172"/>
      <c r="O93" s="172"/>
      <c r="P93" s="171"/>
      <c r="Q93" s="172"/>
      <c r="R93" s="173"/>
      <c r="S93" s="173"/>
      <c r="T93" s="173"/>
      <c r="U93" s="173"/>
      <c r="V93" s="173"/>
      <c r="W93" s="173"/>
    </row>
    <row r="94" spans="1:23" x14ac:dyDescent="0.2">
      <c r="A94" s="17">
        <v>8</v>
      </c>
      <c r="B94" s="165"/>
      <c r="C94" s="165"/>
      <c r="D94" s="351"/>
      <c r="E94" s="167"/>
      <c r="F94" s="168"/>
      <c r="G94" s="407"/>
      <c r="H94" s="169"/>
      <c r="I94" s="17" t="e">
        <f>IF(VLOOKUP(C94,Data!H5:I1201,2,FALSE)="Yes","Yes",IF(VLOOKUP(G94,Data!$A$5:$C$2950,3,FALSE)="Yes","Yes","No"))</f>
        <v>#N/A</v>
      </c>
      <c r="J94" s="170"/>
      <c r="K94" s="170"/>
      <c r="L94" s="171"/>
      <c r="M94" s="171"/>
      <c r="N94" s="172"/>
      <c r="O94" s="172"/>
      <c r="P94" s="171"/>
      <c r="Q94" s="172"/>
      <c r="R94" s="173"/>
      <c r="S94" s="173"/>
      <c r="T94" s="173"/>
      <c r="U94" s="173"/>
      <c r="V94" s="173"/>
      <c r="W94" s="173"/>
    </row>
    <row r="95" spans="1:23" x14ac:dyDescent="0.2">
      <c r="A95" s="17">
        <v>9</v>
      </c>
      <c r="B95" s="165"/>
      <c r="C95" s="165"/>
      <c r="D95" s="351"/>
      <c r="E95" s="167"/>
      <c r="F95" s="168"/>
      <c r="G95" s="407"/>
      <c r="H95" s="169"/>
      <c r="I95" s="17" t="e">
        <f>IF(VLOOKUP(C95,Data!H5:I1201,2,FALSE)="Yes","Yes",IF(VLOOKUP(G95,Data!$A$5:$C$2950,3,FALSE)="Yes","Yes","No"))</f>
        <v>#N/A</v>
      </c>
      <c r="J95" s="170"/>
      <c r="K95" s="170"/>
      <c r="L95" s="171"/>
      <c r="M95" s="171"/>
      <c r="N95" s="172"/>
      <c r="O95" s="172"/>
      <c r="P95" s="171"/>
      <c r="Q95" s="172"/>
      <c r="R95" s="173"/>
      <c r="S95" s="173"/>
      <c r="T95" s="173"/>
      <c r="U95" s="173"/>
      <c r="V95" s="173"/>
      <c r="W95" s="173"/>
    </row>
    <row r="96" spans="1:23" x14ac:dyDescent="0.2">
      <c r="A96" s="17">
        <v>10</v>
      </c>
      <c r="B96" s="165"/>
      <c r="C96" s="165"/>
      <c r="D96" s="351"/>
      <c r="E96" s="167"/>
      <c r="F96" s="168"/>
      <c r="G96" s="407"/>
      <c r="H96" s="169"/>
      <c r="I96" s="17" t="e">
        <f>IF(VLOOKUP(C96,Data!H5:I1201,2,FALSE)="Yes","Yes",IF(VLOOKUP(G96,Data!$A$5:$C$2950,3,FALSE)="Yes","Yes","No"))</f>
        <v>#N/A</v>
      </c>
      <c r="J96" s="170"/>
      <c r="K96" s="170"/>
      <c r="L96" s="171"/>
      <c r="M96" s="171"/>
      <c r="N96" s="172"/>
      <c r="O96" s="172"/>
      <c r="P96" s="171"/>
      <c r="Q96" s="172"/>
      <c r="R96" s="173"/>
      <c r="S96" s="173"/>
      <c r="T96" s="173"/>
      <c r="U96" s="173"/>
      <c r="V96" s="173"/>
      <c r="W96" s="173"/>
    </row>
    <row r="97" spans="1:23" x14ac:dyDescent="0.2">
      <c r="A97" s="17">
        <v>11</v>
      </c>
      <c r="B97" s="165"/>
      <c r="C97" s="165"/>
      <c r="D97" s="351"/>
      <c r="E97" s="167"/>
      <c r="F97" s="168"/>
      <c r="G97" s="407"/>
      <c r="H97" s="169"/>
      <c r="I97" s="17" t="e">
        <f>IF(VLOOKUP(C97,Data!H5:I1201,2,FALSE)="Yes","Yes",IF(VLOOKUP(G97,Data!$A$5:$C$2950,3,FALSE)="Yes","Yes","No"))</f>
        <v>#N/A</v>
      </c>
      <c r="J97" s="170"/>
      <c r="K97" s="170"/>
      <c r="L97" s="171"/>
      <c r="M97" s="171"/>
      <c r="N97" s="172"/>
      <c r="O97" s="172"/>
      <c r="P97" s="171"/>
      <c r="Q97" s="172"/>
      <c r="R97" s="173"/>
      <c r="S97" s="173"/>
      <c r="T97" s="173"/>
      <c r="U97" s="173"/>
      <c r="V97" s="173"/>
      <c r="W97" s="173"/>
    </row>
    <row r="98" spans="1:23" x14ac:dyDescent="0.2">
      <c r="A98" s="17">
        <v>12</v>
      </c>
      <c r="B98" s="165"/>
      <c r="C98" s="165"/>
      <c r="D98" s="351"/>
      <c r="E98" s="167"/>
      <c r="F98" s="168"/>
      <c r="G98" s="407"/>
      <c r="H98" s="169"/>
      <c r="I98" s="17" t="e">
        <f>IF(VLOOKUP(C98,Data!H5:I1201,2,FALSE)="Yes","Yes",IF(VLOOKUP(G98,Data!$A$5:$C$2950,3,FALSE)="Yes","Yes","No"))</f>
        <v>#N/A</v>
      </c>
      <c r="J98" s="170"/>
      <c r="K98" s="170"/>
      <c r="L98" s="171"/>
      <c r="M98" s="171"/>
      <c r="N98" s="172"/>
      <c r="O98" s="172"/>
      <c r="P98" s="171"/>
      <c r="Q98" s="172"/>
      <c r="R98" s="173"/>
      <c r="S98" s="173"/>
      <c r="T98" s="173"/>
      <c r="U98" s="173"/>
      <c r="V98" s="173"/>
      <c r="W98" s="173"/>
    </row>
    <row r="99" spans="1:23" x14ac:dyDescent="0.2">
      <c r="A99" s="17">
        <v>13</v>
      </c>
      <c r="B99" s="165"/>
      <c r="C99" s="165"/>
      <c r="D99" s="351"/>
      <c r="E99" s="167"/>
      <c r="F99" s="168"/>
      <c r="G99" s="407"/>
      <c r="H99" s="169"/>
      <c r="I99" s="17" t="e">
        <f>IF(VLOOKUP(C99,Data!H5:I1201,2,FALSE)="Yes","Yes",IF(VLOOKUP(G99,Data!$A$5:$C$2950,3,FALSE)="Yes","Yes","No"))</f>
        <v>#N/A</v>
      </c>
      <c r="J99" s="170"/>
      <c r="K99" s="170"/>
      <c r="L99" s="171"/>
      <c r="M99" s="171"/>
      <c r="N99" s="172"/>
      <c r="O99" s="172"/>
      <c r="P99" s="171"/>
      <c r="Q99" s="172"/>
      <c r="R99" s="173"/>
      <c r="S99" s="173"/>
      <c r="T99" s="173"/>
      <c r="U99" s="173"/>
      <c r="V99" s="173"/>
      <c r="W99" s="173"/>
    </row>
    <row r="100" spans="1:23" x14ac:dyDescent="0.2">
      <c r="A100" s="17">
        <v>14</v>
      </c>
      <c r="B100" s="165"/>
      <c r="C100" s="165"/>
      <c r="D100" s="351"/>
      <c r="E100" s="167"/>
      <c r="F100" s="168"/>
      <c r="G100" s="407"/>
      <c r="H100" s="169"/>
      <c r="I100" s="17" t="e">
        <f>IF(VLOOKUP(C100,Data!H5:I1201,2,FALSE)="Yes","Yes",IF(VLOOKUP(G100,Data!$A$5:$C$2950,3,FALSE)="Yes","Yes","No"))</f>
        <v>#N/A</v>
      </c>
      <c r="J100" s="170"/>
      <c r="K100" s="170"/>
      <c r="L100" s="171"/>
      <c r="M100" s="171"/>
      <c r="N100" s="172"/>
      <c r="O100" s="172"/>
      <c r="P100" s="171"/>
      <c r="Q100" s="172"/>
      <c r="R100" s="173"/>
      <c r="S100" s="173"/>
      <c r="T100" s="173"/>
      <c r="U100" s="173"/>
      <c r="V100" s="173"/>
      <c r="W100" s="173"/>
    </row>
    <row r="101" spans="1:23" x14ac:dyDescent="0.2">
      <c r="A101" s="17">
        <v>15</v>
      </c>
      <c r="B101" s="165"/>
      <c r="C101" s="165"/>
      <c r="D101" s="351"/>
      <c r="E101" s="167"/>
      <c r="F101" s="168"/>
      <c r="G101" s="407"/>
      <c r="H101" s="169"/>
      <c r="I101" s="17" t="e">
        <f>IF(VLOOKUP(C101,Data!H5:I1201,2,FALSE)="Yes","Yes",IF(VLOOKUP(G101,Data!$A$5:$C$2950,3,FALSE)="Yes","Yes","No"))</f>
        <v>#N/A</v>
      </c>
      <c r="J101" s="170"/>
      <c r="K101" s="170"/>
      <c r="L101" s="171"/>
      <c r="M101" s="171"/>
      <c r="N101" s="172"/>
      <c r="O101" s="172"/>
      <c r="P101" s="171"/>
      <c r="Q101" s="172"/>
      <c r="R101" s="173"/>
      <c r="S101" s="173"/>
      <c r="T101" s="173"/>
      <c r="U101" s="173"/>
      <c r="V101" s="173"/>
      <c r="W101" s="173"/>
    </row>
    <row r="102" spans="1:23" x14ac:dyDescent="0.2">
      <c r="A102" s="17">
        <v>16</v>
      </c>
      <c r="B102" s="165"/>
      <c r="C102" s="165"/>
      <c r="D102" s="351"/>
      <c r="E102" s="167"/>
      <c r="F102" s="168"/>
      <c r="G102" s="407"/>
      <c r="H102" s="169"/>
      <c r="I102" s="17" t="e">
        <f>IF(VLOOKUP(C102,Data!$H$5:$I$1201,2,FALSE)="Yes","Yes",IF(VLOOKUP(G102,Data!$A$5:$C$2950,3,FALSE)="Yes","Yes","No"))</f>
        <v>#N/A</v>
      </c>
      <c r="J102" s="170"/>
      <c r="K102" s="170"/>
      <c r="L102" s="171"/>
      <c r="M102" s="171"/>
      <c r="N102" s="172"/>
      <c r="O102" s="172"/>
      <c r="P102" s="171"/>
      <c r="Q102" s="172"/>
      <c r="R102" s="173"/>
      <c r="S102" s="173"/>
      <c r="T102" s="173"/>
      <c r="U102" s="173"/>
      <c r="V102" s="173"/>
      <c r="W102" s="173"/>
    </row>
    <row r="103" spans="1:23" x14ac:dyDescent="0.2">
      <c r="A103" s="17">
        <v>17</v>
      </c>
      <c r="B103" s="165"/>
      <c r="C103" s="165"/>
      <c r="D103" s="351"/>
      <c r="E103" s="167"/>
      <c r="F103" s="168"/>
      <c r="G103" s="407"/>
      <c r="H103" s="169"/>
      <c r="I103" s="17" t="e">
        <f>IF(VLOOKUP(C103,Data!$H$5:$I$1201,2,FALSE)="Yes","Yes",IF(VLOOKUP(G103,Data!$A$5:$C$2950,3,FALSE)="Yes","Yes","No"))</f>
        <v>#N/A</v>
      </c>
      <c r="J103" s="170"/>
      <c r="K103" s="170"/>
      <c r="L103" s="171"/>
      <c r="M103" s="171"/>
      <c r="N103" s="172"/>
      <c r="O103" s="172"/>
      <c r="P103" s="171"/>
      <c r="Q103" s="172"/>
      <c r="R103" s="173"/>
      <c r="S103" s="173"/>
      <c r="T103" s="173"/>
      <c r="U103" s="173"/>
      <c r="V103" s="173"/>
      <c r="W103" s="173"/>
    </row>
    <row r="104" spans="1:23" x14ac:dyDescent="0.2">
      <c r="A104" s="17">
        <v>18</v>
      </c>
      <c r="B104" s="165"/>
      <c r="C104" s="165"/>
      <c r="D104" s="351"/>
      <c r="E104" s="167"/>
      <c r="F104" s="168"/>
      <c r="G104" s="407"/>
      <c r="H104" s="169"/>
      <c r="I104" s="17" t="e">
        <f>IF(VLOOKUP(C104,Data!$H$5:$I$1201,2,FALSE)="Yes","Yes",IF(VLOOKUP(G104,Data!$A$5:$C$2950,3,FALSE)="Yes","Yes","No"))</f>
        <v>#N/A</v>
      </c>
      <c r="J104" s="170"/>
      <c r="K104" s="170"/>
      <c r="L104" s="171"/>
      <c r="M104" s="171"/>
      <c r="N104" s="172"/>
      <c r="O104" s="172"/>
      <c r="P104" s="171"/>
      <c r="Q104" s="172"/>
      <c r="R104" s="173"/>
      <c r="S104" s="173"/>
      <c r="T104" s="173"/>
      <c r="U104" s="173"/>
      <c r="V104" s="173"/>
      <c r="W104" s="173"/>
    </row>
    <row r="105" spans="1:23" x14ac:dyDescent="0.2">
      <c r="A105" s="17">
        <v>19</v>
      </c>
      <c r="B105" s="165"/>
      <c r="C105" s="165"/>
      <c r="D105" s="351"/>
      <c r="E105" s="167"/>
      <c r="F105" s="168"/>
      <c r="G105" s="407"/>
      <c r="H105" s="169"/>
      <c r="I105" s="17" t="e">
        <f>IF(VLOOKUP(C105,Data!$H$5:$I$1201,2,FALSE)="Yes","Yes",IF(VLOOKUP(G105,Data!$A$5:$C$2950,3,FALSE)="Yes","Yes","No"))</f>
        <v>#N/A</v>
      </c>
      <c r="J105" s="170"/>
      <c r="K105" s="170"/>
      <c r="L105" s="171"/>
      <c r="M105" s="171"/>
      <c r="N105" s="172"/>
      <c r="O105" s="172"/>
      <c r="P105" s="171"/>
      <c r="Q105" s="172"/>
      <c r="R105" s="173"/>
      <c r="S105" s="173"/>
      <c r="T105" s="173"/>
      <c r="U105" s="173"/>
      <c r="V105" s="173"/>
      <c r="W105" s="173"/>
    </row>
    <row r="106" spans="1:23" x14ac:dyDescent="0.2">
      <c r="A106" s="17">
        <v>20</v>
      </c>
      <c r="B106" s="165"/>
      <c r="C106" s="165"/>
      <c r="D106" s="351"/>
      <c r="E106" s="167"/>
      <c r="F106" s="168"/>
      <c r="G106" s="407"/>
      <c r="H106" s="169"/>
      <c r="I106" s="17" t="e">
        <f>IF(VLOOKUP(C106,Data!$H$5:$I$1201,2,FALSE)="Yes","Yes",IF(VLOOKUP(G106,Data!$A$5:$C$2950,3,FALSE)="Yes","Yes","No"))</f>
        <v>#N/A</v>
      </c>
      <c r="J106" s="170"/>
      <c r="K106" s="170"/>
      <c r="L106" s="171"/>
      <c r="M106" s="171"/>
      <c r="N106" s="172"/>
      <c r="O106" s="172"/>
      <c r="P106" s="171"/>
      <c r="Q106" s="172"/>
      <c r="R106" s="173"/>
      <c r="S106" s="173"/>
      <c r="T106" s="173"/>
      <c r="U106" s="173"/>
      <c r="V106" s="173"/>
      <c r="W106" s="173"/>
    </row>
    <row r="107" spans="1:23" x14ac:dyDescent="0.2">
      <c r="A107" s="17">
        <v>21</v>
      </c>
      <c r="B107" s="165"/>
      <c r="C107" s="165"/>
      <c r="D107" s="351"/>
      <c r="E107" s="167"/>
      <c r="F107" s="168"/>
      <c r="G107" s="407"/>
      <c r="H107" s="169"/>
      <c r="I107" s="17" t="e">
        <f>IF(VLOOKUP(C107,Data!$H$5:$I$1201,2,FALSE)="Yes","Yes",IF(VLOOKUP(G107,Data!$A$5:$C$2950,3,FALSE)="Yes","Yes","No"))</f>
        <v>#N/A</v>
      </c>
      <c r="J107" s="170"/>
      <c r="K107" s="170"/>
      <c r="L107" s="171"/>
      <c r="M107" s="171"/>
      <c r="N107" s="172"/>
      <c r="O107" s="172"/>
      <c r="P107" s="171"/>
      <c r="Q107" s="172"/>
      <c r="R107" s="173"/>
      <c r="S107" s="173"/>
      <c r="T107" s="173"/>
      <c r="U107" s="173"/>
      <c r="V107" s="173"/>
      <c r="W107" s="173"/>
    </row>
    <row r="108" spans="1:23" x14ac:dyDescent="0.2">
      <c r="A108" s="17">
        <v>22</v>
      </c>
      <c r="B108" s="165"/>
      <c r="C108" s="165"/>
      <c r="D108" s="351"/>
      <c r="E108" s="167"/>
      <c r="F108" s="168"/>
      <c r="G108" s="407"/>
      <c r="H108" s="169"/>
      <c r="I108" s="17" t="e">
        <f>IF(VLOOKUP(C108,Data!$H$5:$I$1201,2,FALSE)="Yes","Yes",IF(VLOOKUP(G108,Data!$A$5:$C$2950,3,FALSE)="Yes","Yes","No"))</f>
        <v>#N/A</v>
      </c>
      <c r="J108" s="170"/>
      <c r="K108" s="170"/>
      <c r="L108" s="171"/>
      <c r="M108" s="171"/>
      <c r="N108" s="172"/>
      <c r="O108" s="172"/>
      <c r="P108" s="171"/>
      <c r="Q108" s="172"/>
      <c r="R108" s="173"/>
      <c r="S108" s="173"/>
      <c r="T108" s="173"/>
      <c r="U108" s="173"/>
      <c r="V108" s="173"/>
      <c r="W108" s="173"/>
    </row>
    <row r="109" spans="1:23" x14ac:dyDescent="0.2">
      <c r="A109" s="17">
        <v>23</v>
      </c>
      <c r="B109" s="165"/>
      <c r="C109" s="165"/>
      <c r="D109" s="351"/>
      <c r="E109" s="167"/>
      <c r="F109" s="168"/>
      <c r="G109" s="407"/>
      <c r="H109" s="169"/>
      <c r="I109" s="17" t="e">
        <f>IF(VLOOKUP(C109,Data!$H$5:$I$1201,2,FALSE)="Yes","Yes",IF(VLOOKUP(G109,Data!$A$5:$C$2950,3,FALSE)="Yes","Yes","No"))</f>
        <v>#N/A</v>
      </c>
      <c r="J109" s="170"/>
      <c r="K109" s="170"/>
      <c r="L109" s="171"/>
      <c r="M109" s="171"/>
      <c r="N109" s="172"/>
      <c r="O109" s="172"/>
      <c r="P109" s="171"/>
      <c r="Q109" s="172"/>
      <c r="R109" s="173"/>
      <c r="S109" s="173"/>
      <c r="T109" s="173"/>
      <c r="U109" s="173"/>
      <c r="V109" s="173"/>
      <c r="W109" s="173"/>
    </row>
    <row r="110" spans="1:23" x14ac:dyDescent="0.2">
      <c r="A110" s="17">
        <v>24</v>
      </c>
      <c r="B110" s="165"/>
      <c r="C110" s="165"/>
      <c r="D110" s="351"/>
      <c r="E110" s="167"/>
      <c r="F110" s="168"/>
      <c r="G110" s="407"/>
      <c r="H110" s="169"/>
      <c r="I110" s="17" t="e">
        <f>IF(VLOOKUP(C110,Data!$H$5:$I$1201,2,FALSE)="Yes","Yes",IF(VLOOKUP(G110,Data!$A$5:$C$2950,3,FALSE)="Yes","Yes","No"))</f>
        <v>#N/A</v>
      </c>
      <c r="J110" s="170"/>
      <c r="K110" s="170"/>
      <c r="L110" s="171"/>
      <c r="M110" s="171"/>
      <c r="N110" s="172"/>
      <c r="O110" s="172"/>
      <c r="P110" s="171"/>
      <c r="Q110" s="172"/>
      <c r="R110" s="173"/>
      <c r="S110" s="173"/>
      <c r="T110" s="173"/>
      <c r="U110" s="173"/>
      <c r="V110" s="173"/>
      <c r="W110" s="173"/>
    </row>
    <row r="111" spans="1:23" s="198" customFormat="1" x14ac:dyDescent="0.2">
      <c r="A111" s="17">
        <v>25</v>
      </c>
      <c r="B111" s="165"/>
      <c r="C111" s="165"/>
      <c r="D111" s="351"/>
      <c r="E111" s="167"/>
      <c r="F111" s="168"/>
      <c r="G111" s="407"/>
      <c r="H111" s="169"/>
      <c r="I111" s="17" t="e">
        <f>IF(VLOOKUP(C111,Data!$H$5:$I$1201,2,FALSE)="Yes","Yes",IF(VLOOKUP(G111,Data!$A$5:$C$2950,3,FALSE)="Yes","Yes","No"))</f>
        <v>#N/A</v>
      </c>
      <c r="J111" s="170"/>
      <c r="K111" s="170"/>
      <c r="L111" s="171"/>
      <c r="M111" s="171"/>
      <c r="N111" s="172"/>
      <c r="O111" s="172"/>
      <c r="P111" s="171"/>
      <c r="Q111" s="172"/>
      <c r="R111" s="173"/>
      <c r="S111" s="173"/>
      <c r="T111" s="173"/>
      <c r="U111" s="173"/>
      <c r="V111" s="173"/>
      <c r="W111" s="173"/>
    </row>
    <row r="112" spans="1:23" x14ac:dyDescent="0.2">
      <c r="A112" s="17">
        <v>26</v>
      </c>
      <c r="B112" s="165"/>
      <c r="C112" s="165"/>
      <c r="D112" s="351"/>
      <c r="E112" s="167"/>
      <c r="F112" s="168"/>
      <c r="G112" s="407"/>
      <c r="H112" s="169"/>
      <c r="I112" s="17" t="e">
        <f>IF(VLOOKUP(C112,Data!$H$5:$I$1201,2,FALSE)="Yes","Yes",IF(VLOOKUP(G112,Data!$A$5:$C$2950,3,FALSE)="Yes","Yes","No"))</f>
        <v>#N/A</v>
      </c>
      <c r="J112" s="170"/>
      <c r="K112" s="170"/>
      <c r="L112" s="171"/>
      <c r="M112" s="171"/>
      <c r="N112" s="172"/>
      <c r="O112" s="172"/>
      <c r="P112" s="171"/>
      <c r="Q112" s="172"/>
      <c r="R112" s="173"/>
      <c r="S112" s="173"/>
      <c r="T112" s="173"/>
      <c r="U112" s="173"/>
      <c r="V112" s="173"/>
      <c r="W112" s="173"/>
    </row>
    <row r="113" spans="1:23" x14ac:dyDescent="0.2">
      <c r="A113" s="17">
        <v>27</v>
      </c>
      <c r="B113" s="165"/>
      <c r="C113" s="165"/>
      <c r="D113" s="351"/>
      <c r="E113" s="167"/>
      <c r="F113" s="168"/>
      <c r="G113" s="407"/>
      <c r="H113" s="169"/>
      <c r="I113" s="17" t="e">
        <f>IF(VLOOKUP(C113,Data!$H$5:$I$1201,2,FALSE)="Yes","Yes",IF(VLOOKUP(G113,Data!$A$5:$C$2950,3,FALSE)="Yes","Yes","No"))</f>
        <v>#N/A</v>
      </c>
      <c r="J113" s="170"/>
      <c r="K113" s="170"/>
      <c r="L113" s="171"/>
      <c r="M113" s="171"/>
      <c r="N113" s="172"/>
      <c r="O113" s="172"/>
      <c r="P113" s="171"/>
      <c r="Q113" s="172"/>
      <c r="R113" s="173"/>
      <c r="S113" s="173"/>
      <c r="T113" s="173"/>
      <c r="U113" s="173"/>
      <c r="V113" s="173"/>
      <c r="W113" s="173"/>
    </row>
    <row r="114" spans="1:23" x14ac:dyDescent="0.2">
      <c r="A114" s="17">
        <v>28</v>
      </c>
      <c r="B114" s="165"/>
      <c r="C114" s="165"/>
      <c r="D114" s="351"/>
      <c r="E114" s="167"/>
      <c r="F114" s="168"/>
      <c r="G114" s="407"/>
      <c r="H114" s="169"/>
      <c r="I114" s="17" t="e">
        <f>IF(VLOOKUP(C114,Data!$H$5:$I$1201,2,FALSE)="Yes","Yes",IF(VLOOKUP(G114,Data!$A$5:$C$2950,3,FALSE)="Yes","Yes","No"))</f>
        <v>#N/A</v>
      </c>
      <c r="J114" s="170"/>
      <c r="K114" s="170"/>
      <c r="L114" s="171"/>
      <c r="M114" s="171"/>
      <c r="N114" s="172"/>
      <c r="O114" s="172"/>
      <c r="P114" s="171"/>
      <c r="Q114" s="172"/>
      <c r="R114" s="173"/>
      <c r="S114" s="173"/>
      <c r="T114" s="173"/>
      <c r="U114" s="173"/>
      <c r="V114" s="173"/>
      <c r="W114" s="173"/>
    </row>
    <row r="115" spans="1:23" x14ac:dyDescent="0.2">
      <c r="A115" s="17">
        <v>29</v>
      </c>
      <c r="B115" s="165"/>
      <c r="C115" s="165"/>
      <c r="D115" s="351"/>
      <c r="E115" s="167"/>
      <c r="F115" s="168"/>
      <c r="G115" s="407"/>
      <c r="H115" s="169"/>
      <c r="I115" s="17" t="e">
        <f>IF(VLOOKUP(C115,Data!$H$5:$I$1201,2,FALSE)="Yes","Yes",IF(VLOOKUP(G115,Data!$A$5:$C$2950,3,FALSE)="Yes","Yes","No"))</f>
        <v>#N/A</v>
      </c>
      <c r="J115" s="170"/>
      <c r="K115" s="170"/>
      <c r="L115" s="171"/>
      <c r="M115" s="171"/>
      <c r="N115" s="172"/>
      <c r="O115" s="172"/>
      <c r="P115" s="171"/>
      <c r="Q115" s="172"/>
      <c r="R115" s="173"/>
      <c r="S115" s="173"/>
      <c r="T115" s="173"/>
      <c r="U115" s="173"/>
      <c r="V115" s="173"/>
      <c r="W115" s="173"/>
    </row>
    <row r="116" spans="1:23" x14ac:dyDescent="0.2">
      <c r="A116" s="17">
        <v>30</v>
      </c>
      <c r="B116" s="165"/>
      <c r="C116" s="165"/>
      <c r="D116" s="351"/>
      <c r="E116" s="167"/>
      <c r="F116" s="168"/>
      <c r="G116" s="407"/>
      <c r="H116" s="169"/>
      <c r="I116" s="17" t="e">
        <f>IF(VLOOKUP(C116,Data!$H$5:$I$1201,2,FALSE)="Yes","Yes",IF(VLOOKUP(G116,Data!$A$5:$C$2950,3,FALSE)="Yes","Yes","No"))</f>
        <v>#N/A</v>
      </c>
      <c r="J116" s="170"/>
      <c r="K116" s="170"/>
      <c r="L116" s="171"/>
      <c r="M116" s="171"/>
      <c r="N116" s="172"/>
      <c r="O116" s="172"/>
      <c r="P116" s="171"/>
      <c r="Q116" s="172"/>
      <c r="R116" s="173"/>
      <c r="S116" s="173"/>
      <c r="T116" s="173"/>
      <c r="U116" s="173"/>
      <c r="V116" s="173"/>
      <c r="W116" s="173"/>
    </row>
    <row r="117" spans="1:23" x14ac:dyDescent="0.2">
      <c r="A117" s="17">
        <v>31</v>
      </c>
      <c r="B117" s="165"/>
      <c r="C117" s="165"/>
      <c r="D117" s="351"/>
      <c r="E117" s="167"/>
      <c r="F117" s="168"/>
      <c r="G117" s="407"/>
      <c r="H117" s="169"/>
      <c r="I117" s="17" t="e">
        <f>IF(VLOOKUP(C117,Data!$H$5:$I$1201,2,FALSE)="Yes","Yes",IF(VLOOKUP(G117,Data!$A$5:$C$2950,3,FALSE)="Yes","Yes","No"))</f>
        <v>#N/A</v>
      </c>
      <c r="J117" s="170"/>
      <c r="K117" s="170"/>
      <c r="L117" s="171"/>
      <c r="M117" s="171"/>
      <c r="N117" s="172"/>
      <c r="O117" s="172"/>
      <c r="P117" s="171"/>
      <c r="Q117" s="172"/>
      <c r="R117" s="173"/>
      <c r="S117" s="173"/>
      <c r="T117" s="173"/>
      <c r="U117" s="173"/>
      <c r="V117" s="173"/>
      <c r="W117" s="173"/>
    </row>
    <row r="118" spans="1:23" x14ac:dyDescent="0.2">
      <c r="A118" s="17">
        <v>32</v>
      </c>
      <c r="B118" s="165"/>
      <c r="C118" s="165"/>
      <c r="D118" s="351"/>
      <c r="E118" s="167"/>
      <c r="F118" s="168"/>
      <c r="G118" s="407"/>
      <c r="H118" s="169"/>
      <c r="I118" s="17" t="e">
        <f>IF(VLOOKUP(C118,Data!$H$5:$I$1201,2,FALSE)="Yes","Yes",IF(VLOOKUP(G118,Data!$A$5:$C$2950,3,FALSE)="Yes","Yes","No"))</f>
        <v>#N/A</v>
      </c>
      <c r="J118" s="170"/>
      <c r="K118" s="170"/>
      <c r="L118" s="171"/>
      <c r="M118" s="171"/>
      <c r="N118" s="172"/>
      <c r="O118" s="172"/>
      <c r="P118" s="171"/>
      <c r="Q118" s="172"/>
      <c r="R118" s="173"/>
      <c r="S118" s="173"/>
      <c r="T118" s="173"/>
      <c r="U118" s="173"/>
      <c r="V118" s="173"/>
      <c r="W118" s="173"/>
    </row>
    <row r="119" spans="1:23" x14ac:dyDescent="0.2">
      <c r="A119" s="17">
        <v>33</v>
      </c>
      <c r="B119" s="165"/>
      <c r="C119" s="165"/>
      <c r="D119" s="351"/>
      <c r="E119" s="167"/>
      <c r="F119" s="168"/>
      <c r="G119" s="407"/>
      <c r="H119" s="169"/>
      <c r="I119" s="17" t="e">
        <f>IF(VLOOKUP(C119,Data!$H$5:$I$1201,2,FALSE)="Yes","Yes",IF(VLOOKUP(G119,Data!$A$5:$C$2950,3,FALSE)="Yes","Yes","No"))</f>
        <v>#N/A</v>
      </c>
      <c r="J119" s="170"/>
      <c r="K119" s="170"/>
      <c r="L119" s="171"/>
      <c r="M119" s="171"/>
      <c r="N119" s="172"/>
      <c r="O119" s="172"/>
      <c r="P119" s="171"/>
      <c r="Q119" s="172"/>
      <c r="R119" s="173"/>
      <c r="S119" s="173"/>
      <c r="T119" s="173"/>
      <c r="U119" s="173"/>
      <c r="V119" s="173"/>
      <c r="W119" s="173"/>
    </row>
    <row r="120" spans="1:23" x14ac:dyDescent="0.2">
      <c r="A120" s="17">
        <v>34</v>
      </c>
      <c r="B120" s="165"/>
      <c r="C120" s="165"/>
      <c r="D120" s="351"/>
      <c r="E120" s="167"/>
      <c r="F120" s="168"/>
      <c r="G120" s="407"/>
      <c r="H120" s="169"/>
      <c r="I120" s="17" t="e">
        <f>IF(VLOOKUP(C120,Data!$H$5:$I$1201,2,FALSE)="Yes","Yes",IF(VLOOKUP(G120,Data!$A$5:$C$2950,3,FALSE)="Yes","Yes","No"))</f>
        <v>#N/A</v>
      </c>
      <c r="J120" s="170"/>
      <c r="K120" s="170"/>
      <c r="L120" s="171"/>
      <c r="M120" s="171"/>
      <c r="N120" s="172"/>
      <c r="O120" s="172"/>
      <c r="P120" s="171"/>
      <c r="Q120" s="172"/>
      <c r="R120" s="173"/>
      <c r="S120" s="173"/>
      <c r="T120" s="173"/>
      <c r="U120" s="173"/>
      <c r="V120" s="173"/>
      <c r="W120" s="173"/>
    </row>
    <row r="121" spans="1:23" x14ac:dyDescent="0.2">
      <c r="A121" s="17">
        <v>35</v>
      </c>
      <c r="B121" s="165"/>
      <c r="C121" s="165"/>
      <c r="D121" s="351"/>
      <c r="E121" s="167"/>
      <c r="F121" s="168"/>
      <c r="G121" s="407"/>
      <c r="H121" s="169"/>
      <c r="I121" s="17" t="e">
        <f>IF(VLOOKUP(C121,Data!$H$5:$I$1201,2,FALSE)="Yes","Yes",IF(VLOOKUP(G121,Data!$A$5:$C$2950,3,FALSE)="Yes","Yes","No"))</f>
        <v>#N/A</v>
      </c>
      <c r="J121" s="170"/>
      <c r="K121" s="170"/>
      <c r="L121" s="171"/>
      <c r="M121" s="171"/>
      <c r="N121" s="172"/>
      <c r="O121" s="172"/>
      <c r="P121" s="171"/>
      <c r="Q121" s="172"/>
      <c r="R121" s="173"/>
      <c r="S121" s="173"/>
      <c r="T121" s="173"/>
      <c r="U121" s="173"/>
      <c r="V121" s="173"/>
      <c r="W121" s="173"/>
    </row>
    <row r="122" spans="1:23" x14ac:dyDescent="0.2">
      <c r="A122" s="17">
        <v>36</v>
      </c>
      <c r="B122" s="165"/>
      <c r="C122" s="165"/>
      <c r="D122" s="351"/>
      <c r="E122" s="167"/>
      <c r="F122" s="168"/>
      <c r="G122" s="407"/>
      <c r="H122" s="169"/>
      <c r="I122" s="17" t="e">
        <f>IF(VLOOKUP(C122,Data!$H$5:$I$1201,2,FALSE)="Yes","Yes",IF(VLOOKUP(G122,Data!$A$5:$C$2950,3,FALSE)="Yes","Yes","No"))</f>
        <v>#N/A</v>
      </c>
      <c r="J122" s="170"/>
      <c r="K122" s="170"/>
      <c r="L122" s="171"/>
      <c r="M122" s="171"/>
      <c r="N122" s="172"/>
      <c r="O122" s="172"/>
      <c r="P122" s="171"/>
      <c r="Q122" s="172"/>
      <c r="R122" s="173"/>
      <c r="S122" s="173"/>
      <c r="T122" s="173"/>
      <c r="U122" s="173"/>
      <c r="V122" s="173"/>
      <c r="W122" s="173"/>
    </row>
    <row r="123" spans="1:23" x14ac:dyDescent="0.2">
      <c r="A123" s="17">
        <v>37</v>
      </c>
      <c r="B123" s="165"/>
      <c r="C123" s="165"/>
      <c r="D123" s="351"/>
      <c r="E123" s="167"/>
      <c r="F123" s="168"/>
      <c r="G123" s="407"/>
      <c r="H123" s="169"/>
      <c r="I123" s="17" t="e">
        <f>IF(VLOOKUP(C123,Data!$H$5:$I$1201,2,FALSE)="Yes","Yes",IF(VLOOKUP(G123,Data!$A$5:$C$2950,3,FALSE)="Yes","Yes","No"))</f>
        <v>#N/A</v>
      </c>
      <c r="J123" s="170"/>
      <c r="K123" s="170"/>
      <c r="L123" s="171"/>
      <c r="M123" s="171"/>
      <c r="N123" s="172"/>
      <c r="O123" s="172"/>
      <c r="P123" s="171"/>
      <c r="Q123" s="172"/>
      <c r="R123" s="173"/>
      <c r="S123" s="173"/>
      <c r="T123" s="173"/>
      <c r="U123" s="173"/>
      <c r="V123" s="173"/>
      <c r="W123" s="173"/>
    </row>
    <row r="124" spans="1:23" x14ac:dyDescent="0.2">
      <c r="A124" s="17">
        <v>38</v>
      </c>
      <c r="B124" s="165"/>
      <c r="C124" s="165"/>
      <c r="D124" s="351"/>
      <c r="E124" s="167"/>
      <c r="F124" s="168"/>
      <c r="G124" s="407"/>
      <c r="H124" s="169"/>
      <c r="I124" s="17" t="e">
        <f>IF(VLOOKUP(C124,Data!$H$5:$I$1201,2,FALSE)="Yes","Yes",IF(VLOOKUP(G124,Data!$A$5:$C$2950,3,FALSE)="Yes","Yes","No"))</f>
        <v>#N/A</v>
      </c>
      <c r="J124" s="170"/>
      <c r="K124" s="170"/>
      <c r="L124" s="171"/>
      <c r="M124" s="171"/>
      <c r="N124" s="172"/>
      <c r="O124" s="172"/>
      <c r="P124" s="171"/>
      <c r="Q124" s="172"/>
      <c r="R124" s="173"/>
      <c r="S124" s="173"/>
      <c r="T124" s="173"/>
      <c r="U124" s="173"/>
      <c r="V124" s="173"/>
      <c r="W124" s="173"/>
    </row>
    <row r="125" spans="1:23" x14ac:dyDescent="0.2">
      <c r="A125" s="17">
        <v>39</v>
      </c>
      <c r="B125" s="165"/>
      <c r="C125" s="165"/>
      <c r="D125" s="351"/>
      <c r="E125" s="167"/>
      <c r="F125" s="168"/>
      <c r="G125" s="407"/>
      <c r="H125" s="169"/>
      <c r="I125" s="17" t="e">
        <f>IF(VLOOKUP(C125,Data!$H$5:$I$1201,2,FALSE)="Yes","Yes",IF(VLOOKUP(G125,Data!$A$5:$C$2950,3,FALSE)="Yes","Yes","No"))</f>
        <v>#N/A</v>
      </c>
      <c r="J125" s="170"/>
      <c r="K125" s="170"/>
      <c r="L125" s="171"/>
      <c r="M125" s="171"/>
      <c r="N125" s="172"/>
      <c r="O125" s="172"/>
      <c r="P125" s="171"/>
      <c r="Q125" s="172"/>
      <c r="R125" s="173"/>
      <c r="S125" s="173"/>
      <c r="T125" s="173"/>
      <c r="U125" s="173"/>
      <c r="V125" s="173"/>
      <c r="W125" s="173"/>
    </row>
    <row r="126" spans="1:23" s="198" customFormat="1" x14ac:dyDescent="0.2">
      <c r="A126" s="17">
        <v>40</v>
      </c>
      <c r="B126" s="165"/>
      <c r="C126" s="165"/>
      <c r="D126" s="351"/>
      <c r="E126" s="167"/>
      <c r="F126" s="168"/>
      <c r="G126" s="407"/>
      <c r="H126" s="169"/>
      <c r="I126" s="17" t="e">
        <f>IF(VLOOKUP(C126,Data!$H$5:$I$1201,2,FALSE)="Yes","Yes",IF(VLOOKUP(G126,Data!$A$5:$C$2950,3,FALSE)="Yes","Yes","No"))</f>
        <v>#N/A</v>
      </c>
      <c r="J126" s="170"/>
      <c r="K126" s="170"/>
      <c r="L126" s="171"/>
      <c r="M126" s="171"/>
      <c r="N126" s="172"/>
      <c r="O126" s="172"/>
      <c r="P126" s="171"/>
      <c r="Q126" s="172"/>
      <c r="R126" s="173"/>
      <c r="S126" s="173"/>
      <c r="T126" s="173"/>
      <c r="U126" s="173"/>
      <c r="V126" s="173"/>
      <c r="W126" s="173"/>
    </row>
    <row r="127" spans="1:23" x14ac:dyDescent="0.2">
      <c r="A127" s="17">
        <v>41</v>
      </c>
      <c r="B127" s="165"/>
      <c r="C127" s="165"/>
      <c r="D127" s="351"/>
      <c r="E127" s="167"/>
      <c r="F127" s="168"/>
      <c r="G127" s="407"/>
      <c r="H127" s="169"/>
      <c r="I127" s="17" t="e">
        <f>IF(VLOOKUP(C127,Data!$H$5:$I$1201,2,FALSE)="Yes","Yes",IF(VLOOKUP(G127,Data!$A$5:$C$2950,3,FALSE)="Yes","Yes","No"))</f>
        <v>#N/A</v>
      </c>
      <c r="J127" s="170"/>
      <c r="K127" s="170"/>
      <c r="L127" s="171"/>
      <c r="M127" s="171"/>
      <c r="N127" s="172"/>
      <c r="O127" s="172"/>
      <c r="P127" s="171"/>
      <c r="Q127" s="172"/>
      <c r="R127" s="173"/>
      <c r="S127" s="173"/>
      <c r="T127" s="173"/>
      <c r="U127" s="173"/>
      <c r="V127" s="173"/>
      <c r="W127" s="173"/>
    </row>
    <row r="128" spans="1:23" x14ac:dyDescent="0.2">
      <c r="A128" s="17">
        <v>42</v>
      </c>
      <c r="B128" s="165"/>
      <c r="C128" s="165"/>
      <c r="D128" s="351"/>
      <c r="E128" s="167"/>
      <c r="F128" s="168"/>
      <c r="G128" s="407"/>
      <c r="H128" s="169"/>
      <c r="I128" s="17" t="e">
        <f>IF(VLOOKUP(C128,Data!$H$5:$I$1201,2,FALSE)="Yes","Yes",IF(VLOOKUP(G128,Data!$A$5:$C$2950,3,FALSE)="Yes","Yes","No"))</f>
        <v>#N/A</v>
      </c>
      <c r="J128" s="170"/>
      <c r="K128" s="170"/>
      <c r="L128" s="171"/>
      <c r="M128" s="171"/>
      <c r="N128" s="172"/>
      <c r="O128" s="172"/>
      <c r="P128" s="171"/>
      <c r="Q128" s="172"/>
      <c r="R128" s="173"/>
      <c r="S128" s="173"/>
      <c r="T128" s="173"/>
      <c r="U128" s="173"/>
      <c r="V128" s="173"/>
      <c r="W128" s="173"/>
    </row>
    <row r="129" spans="1:23" x14ac:dyDescent="0.2">
      <c r="A129" s="17">
        <v>43</v>
      </c>
      <c r="B129" s="165"/>
      <c r="C129" s="165"/>
      <c r="D129" s="351"/>
      <c r="E129" s="167"/>
      <c r="F129" s="168"/>
      <c r="G129" s="407"/>
      <c r="H129" s="169"/>
      <c r="I129" s="17" t="e">
        <f>IF(VLOOKUP(C129,Data!$H$5:$I$1201,2,FALSE)="Yes","Yes",IF(VLOOKUP(G129,Data!$A$5:$C$2950,3,FALSE)="Yes","Yes","No"))</f>
        <v>#N/A</v>
      </c>
      <c r="J129" s="170"/>
      <c r="K129" s="170"/>
      <c r="L129" s="171"/>
      <c r="M129" s="171"/>
      <c r="N129" s="172"/>
      <c r="O129" s="172"/>
      <c r="P129" s="171"/>
      <c r="Q129" s="172"/>
      <c r="R129" s="173"/>
      <c r="S129" s="173"/>
      <c r="T129" s="173"/>
      <c r="U129" s="173"/>
      <c r="V129" s="173"/>
      <c r="W129" s="173"/>
    </row>
    <row r="130" spans="1:23" x14ac:dyDescent="0.2">
      <c r="A130" s="17">
        <v>44</v>
      </c>
      <c r="B130" s="165"/>
      <c r="C130" s="165"/>
      <c r="D130" s="351"/>
      <c r="E130" s="167"/>
      <c r="F130" s="168"/>
      <c r="G130" s="407"/>
      <c r="H130" s="169"/>
      <c r="I130" s="17" t="e">
        <f>IF(VLOOKUP(C130,Data!$H$5:$I$1201,2,FALSE)="Yes","Yes",IF(VLOOKUP(G130,Data!$A$5:$C$2950,3,FALSE)="Yes","Yes","No"))</f>
        <v>#N/A</v>
      </c>
      <c r="J130" s="170"/>
      <c r="K130" s="170"/>
      <c r="L130" s="171"/>
      <c r="M130" s="171"/>
      <c r="N130" s="172"/>
      <c r="O130" s="172"/>
      <c r="P130" s="171"/>
      <c r="Q130" s="172"/>
      <c r="R130" s="173"/>
      <c r="S130" s="173"/>
      <c r="T130" s="173"/>
      <c r="U130" s="173"/>
      <c r="V130" s="173"/>
      <c r="W130" s="173"/>
    </row>
    <row r="131" spans="1:23" x14ac:dyDescent="0.2">
      <c r="A131" s="17">
        <v>45</v>
      </c>
      <c r="B131" s="165" t="s">
        <v>4169</v>
      </c>
      <c r="C131" s="165"/>
      <c r="D131" s="351"/>
      <c r="E131" s="167"/>
      <c r="F131" s="168"/>
      <c r="G131" s="407"/>
      <c r="H131" s="169"/>
      <c r="I131" s="17" t="e">
        <f>IF(VLOOKUP(C131,Data!$H$5:$I$1201,2,FALSE)="Yes","Yes",IF(VLOOKUP(G131,Data!$A$5:$C$2950,3,FALSE)="Yes","Yes","No"))</f>
        <v>#N/A</v>
      </c>
      <c r="J131" s="170"/>
      <c r="K131" s="170"/>
      <c r="L131" s="171"/>
      <c r="M131" s="171"/>
      <c r="N131" s="172"/>
      <c r="O131" s="172"/>
      <c r="P131" s="171"/>
      <c r="Q131" s="172"/>
      <c r="R131" s="173"/>
      <c r="S131" s="173"/>
      <c r="T131" s="173"/>
      <c r="U131" s="173"/>
      <c r="V131" s="173"/>
      <c r="W131" s="173"/>
    </row>
    <row r="132" spans="1:23" x14ac:dyDescent="0.2">
      <c r="A132" s="17">
        <v>46</v>
      </c>
      <c r="B132" s="165"/>
      <c r="C132" s="165"/>
      <c r="D132" s="351"/>
      <c r="E132" s="167"/>
      <c r="F132" s="168"/>
      <c r="G132" s="407"/>
      <c r="H132" s="169"/>
      <c r="I132" s="17" t="e">
        <f>IF(VLOOKUP(C132,Data!$H$5:$I$1201,2,FALSE)="Yes","Yes",IF(VLOOKUP(G132,Data!$A$5:$C$2950,3,FALSE)="Yes","Yes","No"))</f>
        <v>#N/A</v>
      </c>
      <c r="J132" s="170"/>
      <c r="K132" s="170"/>
      <c r="L132" s="171"/>
      <c r="M132" s="171"/>
      <c r="N132" s="172"/>
      <c r="O132" s="172"/>
      <c r="P132" s="171"/>
      <c r="Q132" s="172"/>
      <c r="R132" s="173"/>
      <c r="S132" s="173"/>
      <c r="T132" s="173"/>
      <c r="U132" s="173"/>
      <c r="V132" s="173"/>
      <c r="W132" s="173"/>
    </row>
    <row r="133" spans="1:23" x14ac:dyDescent="0.2">
      <c r="A133" s="17">
        <v>47</v>
      </c>
      <c r="B133" s="165"/>
      <c r="C133" s="165"/>
      <c r="D133" s="351"/>
      <c r="E133" s="167"/>
      <c r="F133" s="168"/>
      <c r="G133" s="407"/>
      <c r="H133" s="169"/>
      <c r="I133" s="17" t="e">
        <f>IF(VLOOKUP(C133,Data!$H$5:$I$1201,2,FALSE)="Yes","Yes",IF(VLOOKUP(G133,Data!$A$5:$C$2950,3,FALSE)="Yes","Yes","No"))</f>
        <v>#N/A</v>
      </c>
      <c r="J133" s="170"/>
      <c r="K133" s="170"/>
      <c r="L133" s="171"/>
      <c r="M133" s="171"/>
      <c r="N133" s="172"/>
      <c r="O133" s="172"/>
      <c r="P133" s="171"/>
      <c r="Q133" s="172"/>
      <c r="R133" s="173"/>
      <c r="S133" s="173"/>
      <c r="T133" s="173"/>
      <c r="U133" s="173"/>
      <c r="V133" s="173"/>
      <c r="W133" s="173"/>
    </row>
    <row r="134" spans="1:23" x14ac:dyDescent="0.2">
      <c r="A134" s="17">
        <v>48</v>
      </c>
      <c r="B134" s="165"/>
      <c r="C134" s="165"/>
      <c r="D134" s="351"/>
      <c r="E134" s="167"/>
      <c r="F134" s="168"/>
      <c r="G134" s="407"/>
      <c r="H134" s="169"/>
      <c r="I134" s="17" t="e">
        <f>IF(VLOOKUP(C134,Data!$H$5:$I$1201,2,FALSE)="Yes","Yes",IF(VLOOKUP(G134,Data!$A$5:$C$2950,3,FALSE)="Yes","Yes","No"))</f>
        <v>#N/A</v>
      </c>
      <c r="J134" s="170"/>
      <c r="K134" s="170"/>
      <c r="L134" s="171"/>
      <c r="M134" s="171"/>
      <c r="N134" s="172"/>
      <c r="O134" s="172"/>
      <c r="P134" s="171"/>
      <c r="Q134" s="172"/>
      <c r="R134" s="173"/>
      <c r="S134" s="173"/>
      <c r="T134" s="173"/>
      <c r="U134" s="173"/>
      <c r="V134" s="173"/>
      <c r="W134" s="173"/>
    </row>
    <row r="135" spans="1:23" x14ac:dyDescent="0.2">
      <c r="A135" s="17">
        <v>49</v>
      </c>
      <c r="B135" s="165"/>
      <c r="C135" s="165"/>
      <c r="D135" s="351"/>
      <c r="E135" s="167"/>
      <c r="F135" s="168"/>
      <c r="G135" s="407"/>
      <c r="H135" s="169"/>
      <c r="I135" s="17" t="e">
        <f>IF(VLOOKUP(C135,Data!$H$5:$I$1201,2,FALSE)="Yes","Yes",IF(VLOOKUP(G135,Data!$A$5:$C$2950,3,FALSE)="Yes","Yes","No"))</f>
        <v>#N/A</v>
      </c>
      <c r="J135" s="170"/>
      <c r="K135" s="170"/>
      <c r="L135" s="171"/>
      <c r="M135" s="171"/>
      <c r="N135" s="172"/>
      <c r="O135" s="172"/>
      <c r="P135" s="171"/>
      <c r="Q135" s="172"/>
      <c r="R135" s="173"/>
      <c r="S135" s="173"/>
      <c r="T135" s="173"/>
      <c r="U135" s="173"/>
      <c r="V135" s="173"/>
      <c r="W135" s="173"/>
    </row>
    <row r="136" spans="1:23" x14ac:dyDescent="0.2">
      <c r="A136" s="17">
        <v>50</v>
      </c>
      <c r="B136" s="165"/>
      <c r="C136" s="165"/>
      <c r="D136" s="351"/>
      <c r="E136" s="167"/>
      <c r="F136" s="168"/>
      <c r="G136" s="407"/>
      <c r="H136" s="169"/>
      <c r="I136" s="17" t="e">
        <f>IF(VLOOKUP(C136,Data!$H$5:$I$1201,2,FALSE)="Yes","Yes",IF(VLOOKUP(G136,Data!$A$5:$C$2950,3,FALSE)="Yes","Yes","No"))</f>
        <v>#N/A</v>
      </c>
      <c r="J136" s="170"/>
      <c r="K136" s="170"/>
      <c r="L136" s="171"/>
      <c r="M136" s="171"/>
      <c r="N136" s="172"/>
      <c r="O136" s="172"/>
      <c r="P136" s="171"/>
      <c r="Q136" s="172"/>
      <c r="R136" s="173"/>
      <c r="S136" s="173"/>
      <c r="T136" s="173"/>
      <c r="U136" s="173"/>
      <c r="V136" s="173"/>
      <c r="W136" s="173"/>
    </row>
    <row r="137" spans="1:23" x14ac:dyDescent="0.2">
      <c r="A137" s="17">
        <v>51</v>
      </c>
      <c r="B137" s="165"/>
      <c r="C137" s="165"/>
      <c r="D137" s="351"/>
      <c r="E137" s="167"/>
      <c r="F137" s="168"/>
      <c r="G137" s="407"/>
      <c r="H137" s="169"/>
      <c r="I137" s="17" t="e">
        <f>IF(VLOOKUP(C137,Data!$H$5:$I$1201,2,FALSE)="Yes","Yes",IF(VLOOKUP(G137,Data!$A$5:$C$2950,3,FALSE)="Yes","Yes","No"))</f>
        <v>#N/A</v>
      </c>
      <c r="J137" s="170"/>
      <c r="K137" s="170"/>
      <c r="L137" s="171"/>
      <c r="M137" s="171"/>
      <c r="N137" s="172"/>
      <c r="O137" s="172"/>
      <c r="P137" s="171"/>
      <c r="Q137" s="172"/>
      <c r="R137" s="173"/>
      <c r="S137" s="173"/>
      <c r="T137" s="173"/>
      <c r="U137" s="173"/>
      <c r="V137" s="173"/>
      <c r="W137" s="173"/>
    </row>
    <row r="138" spans="1:23" x14ac:dyDescent="0.2">
      <c r="A138" s="17">
        <v>52</v>
      </c>
      <c r="B138" s="165"/>
      <c r="C138" s="165"/>
      <c r="D138" s="351"/>
      <c r="E138" s="167"/>
      <c r="F138" s="168"/>
      <c r="G138" s="407"/>
      <c r="H138" s="169"/>
      <c r="I138" s="17" t="e">
        <f>IF(VLOOKUP(C138,Data!$H$5:$I$1201,2,FALSE)="Yes","Yes",IF(VLOOKUP(G138,Data!$A$5:$C$2950,3,FALSE)="Yes","Yes","No"))</f>
        <v>#N/A</v>
      </c>
      <c r="J138" s="170"/>
      <c r="K138" s="170"/>
      <c r="L138" s="171"/>
      <c r="M138" s="171"/>
      <c r="N138" s="172"/>
      <c r="O138" s="172"/>
      <c r="P138" s="171"/>
      <c r="Q138" s="172"/>
      <c r="R138" s="173"/>
      <c r="S138" s="173"/>
      <c r="T138" s="173"/>
      <c r="U138" s="173"/>
      <c r="V138" s="173"/>
      <c r="W138" s="173"/>
    </row>
    <row r="139" spans="1:23" x14ac:dyDescent="0.2">
      <c r="A139" s="17">
        <v>53</v>
      </c>
      <c r="B139" s="165"/>
      <c r="C139" s="165"/>
      <c r="D139" s="351"/>
      <c r="E139" s="167"/>
      <c r="F139" s="168"/>
      <c r="G139" s="407"/>
      <c r="H139" s="169"/>
      <c r="I139" s="17" t="e">
        <f>IF(VLOOKUP(C139,Data!$H$5:$I$1201,2,FALSE)="Yes","Yes",IF(VLOOKUP(G139,Data!$A$5:$C$2950,3,FALSE)="Yes","Yes","No"))</f>
        <v>#N/A</v>
      </c>
      <c r="J139" s="170"/>
      <c r="K139" s="170"/>
      <c r="L139" s="171"/>
      <c r="M139" s="171"/>
      <c r="N139" s="172"/>
      <c r="O139" s="172"/>
      <c r="P139" s="171"/>
      <c r="Q139" s="172"/>
      <c r="R139" s="173"/>
      <c r="S139" s="173"/>
      <c r="T139" s="173"/>
      <c r="U139" s="173"/>
      <c r="V139" s="173"/>
      <c r="W139" s="173"/>
    </row>
    <row r="140" spans="1:23" x14ac:dyDescent="0.2">
      <c r="A140" s="17">
        <v>54</v>
      </c>
      <c r="B140" s="165"/>
      <c r="C140" s="165"/>
      <c r="D140" s="351"/>
      <c r="E140" s="167"/>
      <c r="F140" s="168"/>
      <c r="G140" s="407"/>
      <c r="H140" s="169"/>
      <c r="I140" s="17" t="e">
        <f>IF(VLOOKUP(C140,Data!$H$5:$I$1201,2,FALSE)="Yes","Yes",IF(VLOOKUP(G140,Data!$A$5:$C$2950,3,FALSE)="Yes","Yes","No"))</f>
        <v>#N/A</v>
      </c>
      <c r="J140" s="170"/>
      <c r="K140" s="170"/>
      <c r="L140" s="171"/>
      <c r="M140" s="171"/>
      <c r="N140" s="172"/>
      <c r="O140" s="172"/>
      <c r="P140" s="171"/>
      <c r="Q140" s="172"/>
      <c r="R140" s="173"/>
      <c r="S140" s="173"/>
      <c r="T140" s="173"/>
      <c r="U140" s="173"/>
      <c r="V140" s="173"/>
      <c r="W140" s="173"/>
    </row>
    <row r="141" spans="1:23" x14ac:dyDescent="0.2">
      <c r="A141" s="17">
        <v>55</v>
      </c>
      <c r="B141" s="165"/>
      <c r="C141" s="165"/>
      <c r="D141" s="351"/>
      <c r="E141" s="167"/>
      <c r="F141" s="168"/>
      <c r="G141" s="407"/>
      <c r="H141" s="169"/>
      <c r="I141" s="17" t="e">
        <f>IF(VLOOKUP(C141,Data!$H$5:$I$1201,2,FALSE)="Yes","Yes",IF(VLOOKUP(G141,Data!$A$5:$C$2950,3,FALSE)="Yes","Yes","No"))</f>
        <v>#N/A</v>
      </c>
      <c r="J141" s="170"/>
      <c r="K141" s="170"/>
      <c r="L141" s="171"/>
      <c r="M141" s="171"/>
      <c r="N141" s="172"/>
      <c r="O141" s="172"/>
      <c r="P141" s="171"/>
      <c r="Q141" s="172"/>
      <c r="R141" s="173"/>
      <c r="S141" s="173"/>
      <c r="T141" s="173"/>
      <c r="U141" s="173"/>
      <c r="V141" s="173"/>
      <c r="W141" s="173"/>
    </row>
    <row r="142" spans="1:23" x14ac:dyDescent="0.2">
      <c r="A142" s="17">
        <v>56</v>
      </c>
      <c r="B142" s="165"/>
      <c r="C142" s="165"/>
      <c r="D142" s="351"/>
      <c r="E142" s="167"/>
      <c r="F142" s="168"/>
      <c r="G142" s="407"/>
      <c r="H142" s="169"/>
      <c r="I142" s="17" t="e">
        <f>IF(VLOOKUP(C142,Data!$H$5:$I$1201,2,FALSE)="Yes","Yes",IF(VLOOKUP(G142,Data!$A$5:$C$2950,3,FALSE)="Yes","Yes","No"))</f>
        <v>#N/A</v>
      </c>
      <c r="J142" s="170"/>
      <c r="K142" s="170"/>
      <c r="L142" s="171"/>
      <c r="M142" s="171"/>
      <c r="N142" s="172"/>
      <c r="O142" s="172"/>
      <c r="P142" s="171"/>
      <c r="Q142" s="172"/>
      <c r="R142" s="173"/>
      <c r="S142" s="173"/>
      <c r="T142" s="173"/>
      <c r="U142" s="173"/>
      <c r="V142" s="173"/>
      <c r="W142" s="173"/>
    </row>
    <row r="143" spans="1:23" x14ac:dyDescent="0.2">
      <c r="A143" s="17">
        <v>57</v>
      </c>
      <c r="B143" s="165"/>
      <c r="C143" s="165"/>
      <c r="D143" s="351"/>
      <c r="E143" s="167"/>
      <c r="F143" s="168"/>
      <c r="G143" s="407"/>
      <c r="H143" s="169"/>
      <c r="I143" s="17" t="e">
        <f>IF(VLOOKUP(C143,Data!$H$5:$I$1201,2,FALSE)="Yes","Yes",IF(VLOOKUP(G143,Data!$A$5:$C$2950,3,FALSE)="Yes","Yes","No"))</f>
        <v>#N/A</v>
      </c>
      <c r="J143" s="170"/>
      <c r="K143" s="170"/>
      <c r="L143" s="171"/>
      <c r="M143" s="171"/>
      <c r="N143" s="172"/>
      <c r="O143" s="172"/>
      <c r="P143" s="171"/>
      <c r="Q143" s="172"/>
      <c r="R143" s="173"/>
      <c r="S143" s="173"/>
      <c r="T143" s="173"/>
      <c r="U143" s="173"/>
      <c r="V143" s="173"/>
      <c r="W143" s="173"/>
    </row>
    <row r="144" spans="1:23" x14ac:dyDescent="0.2">
      <c r="A144" s="17">
        <v>58</v>
      </c>
      <c r="B144" s="165"/>
      <c r="C144" s="165"/>
      <c r="D144" s="351"/>
      <c r="E144" s="167"/>
      <c r="F144" s="168"/>
      <c r="G144" s="407"/>
      <c r="H144" s="169"/>
      <c r="I144" s="17" t="e">
        <f>IF(VLOOKUP(C144,Data!$H$5:$I$1201,2,FALSE)="Yes","Yes",IF(VLOOKUP(G144,Data!$A$5:$C$2950,3,FALSE)="Yes","Yes","No"))</f>
        <v>#N/A</v>
      </c>
      <c r="J144" s="170"/>
      <c r="K144" s="170"/>
      <c r="L144" s="171"/>
      <c r="M144" s="171"/>
      <c r="N144" s="172"/>
      <c r="O144" s="172"/>
      <c r="P144" s="171"/>
      <c r="Q144" s="172"/>
      <c r="R144" s="173"/>
      <c r="S144" s="173"/>
      <c r="T144" s="173"/>
      <c r="U144" s="173"/>
      <c r="V144" s="173"/>
      <c r="W144" s="173"/>
    </row>
    <row r="145" spans="1:23" x14ac:dyDescent="0.2">
      <c r="A145" s="17">
        <v>59</v>
      </c>
      <c r="B145" s="165"/>
      <c r="C145" s="165"/>
      <c r="D145" s="351"/>
      <c r="E145" s="167"/>
      <c r="F145" s="168"/>
      <c r="G145" s="407"/>
      <c r="H145" s="169"/>
      <c r="I145" s="17" t="e">
        <f>IF(VLOOKUP(C145,Data!$H$5:$I$1201,2,FALSE)="Yes","Yes",IF(VLOOKUP(G145,Data!$A$5:$C$2950,3,FALSE)="Yes","Yes","No"))</f>
        <v>#N/A</v>
      </c>
      <c r="J145" s="170"/>
      <c r="K145" s="170"/>
      <c r="L145" s="171"/>
      <c r="M145" s="171"/>
      <c r="N145" s="172"/>
      <c r="O145" s="172"/>
      <c r="P145" s="171"/>
      <c r="Q145" s="172"/>
      <c r="R145" s="173"/>
      <c r="S145" s="173"/>
      <c r="T145" s="173"/>
      <c r="U145" s="173"/>
      <c r="V145" s="173"/>
      <c r="W145" s="173"/>
    </row>
    <row r="146" spans="1:23" x14ac:dyDescent="0.2">
      <c r="A146" s="17">
        <v>60</v>
      </c>
      <c r="B146" s="165"/>
      <c r="C146" s="165"/>
      <c r="D146" s="351"/>
      <c r="E146" s="167"/>
      <c r="F146" s="168"/>
      <c r="G146" s="407"/>
      <c r="H146" s="169"/>
      <c r="I146" s="17" t="e">
        <f>IF(VLOOKUP(C146,Data!$H$5:$I$1201,2,FALSE)="Yes","Yes",IF(VLOOKUP(G146,Data!$A$5:$C$2950,3,FALSE)="Yes","Yes","No"))</f>
        <v>#N/A</v>
      </c>
      <c r="J146" s="170"/>
      <c r="K146" s="170"/>
      <c r="L146" s="171"/>
      <c r="M146" s="171"/>
      <c r="N146" s="172"/>
      <c r="O146" s="172"/>
      <c r="P146" s="171"/>
      <c r="Q146" s="172"/>
      <c r="R146" s="173"/>
      <c r="S146" s="173"/>
      <c r="T146" s="173"/>
      <c r="U146" s="173"/>
      <c r="V146" s="173"/>
      <c r="W146" s="173"/>
    </row>
    <row r="147" spans="1:23" x14ac:dyDescent="0.2">
      <c r="A147" s="17">
        <v>61</v>
      </c>
      <c r="B147" s="165"/>
      <c r="C147" s="165"/>
      <c r="D147" s="351"/>
      <c r="E147" s="167"/>
      <c r="F147" s="168"/>
      <c r="G147" s="407"/>
      <c r="H147" s="169"/>
      <c r="I147" s="17" t="e">
        <f>IF(VLOOKUP(C147,Data!$H$5:$I$1201,2,FALSE)="Yes","Yes",IF(VLOOKUP(G147,Data!$A$5:$C$2950,3,FALSE)="Yes","Yes","No"))</f>
        <v>#N/A</v>
      </c>
      <c r="J147" s="170"/>
      <c r="K147" s="170"/>
      <c r="L147" s="171"/>
      <c r="M147" s="171"/>
      <c r="N147" s="172"/>
      <c r="O147" s="172"/>
      <c r="P147" s="171"/>
      <c r="Q147" s="172"/>
      <c r="R147" s="173"/>
      <c r="S147" s="173"/>
      <c r="T147" s="173"/>
      <c r="U147" s="173"/>
      <c r="V147" s="173"/>
      <c r="W147" s="173"/>
    </row>
    <row r="148" spans="1:23" x14ac:dyDescent="0.2">
      <c r="A148" s="17">
        <v>62</v>
      </c>
      <c r="B148" s="165"/>
      <c r="C148" s="165"/>
      <c r="D148" s="351"/>
      <c r="E148" s="167"/>
      <c r="F148" s="168"/>
      <c r="G148" s="407"/>
      <c r="H148" s="169"/>
      <c r="I148" s="17" t="e">
        <f>IF(VLOOKUP(C148,Data!$H$5:$I$1201,2,FALSE)="Yes","Yes",IF(VLOOKUP(G148,Data!$A$5:$C$2950,3,FALSE)="Yes","Yes","No"))</f>
        <v>#N/A</v>
      </c>
      <c r="J148" s="170"/>
      <c r="K148" s="170"/>
      <c r="L148" s="171"/>
      <c r="M148" s="171"/>
      <c r="N148" s="172"/>
      <c r="O148" s="172"/>
      <c r="P148" s="171"/>
      <c r="Q148" s="172"/>
      <c r="R148" s="173"/>
      <c r="S148" s="173"/>
      <c r="T148" s="173"/>
      <c r="U148" s="173"/>
      <c r="V148" s="173"/>
      <c r="W148" s="173"/>
    </row>
    <row r="149" spans="1:23" x14ac:dyDescent="0.2">
      <c r="A149" s="17">
        <v>63</v>
      </c>
      <c r="B149" s="165"/>
      <c r="C149" s="165"/>
      <c r="D149" s="351"/>
      <c r="E149" s="167"/>
      <c r="F149" s="168"/>
      <c r="G149" s="407"/>
      <c r="H149" s="169"/>
      <c r="I149" s="17" t="e">
        <f>IF(VLOOKUP(C149,Data!$H$5:$I$1201,2,FALSE)="Yes","Yes",IF(VLOOKUP(G149,Data!$A$5:$C$2950,3,FALSE)="Yes","Yes","No"))</f>
        <v>#N/A</v>
      </c>
      <c r="J149" s="170"/>
      <c r="K149" s="170"/>
      <c r="L149" s="171"/>
      <c r="M149" s="171"/>
      <c r="N149" s="172"/>
      <c r="O149" s="172"/>
      <c r="P149" s="171"/>
      <c r="Q149" s="172"/>
      <c r="R149" s="173"/>
      <c r="S149" s="173"/>
      <c r="T149" s="173"/>
      <c r="U149" s="173"/>
      <c r="V149" s="173"/>
      <c r="W149" s="173"/>
    </row>
    <row r="150" spans="1:23" x14ac:dyDescent="0.2">
      <c r="A150" s="17">
        <v>64</v>
      </c>
      <c r="B150" s="165"/>
      <c r="C150" s="165"/>
      <c r="D150" s="351"/>
      <c r="E150" s="167"/>
      <c r="F150" s="168"/>
      <c r="G150" s="407"/>
      <c r="H150" s="169"/>
      <c r="I150" s="17" t="e">
        <f>IF(VLOOKUP(C150,Data!$H$5:$I$1201,2,FALSE)="Yes","Yes",IF(VLOOKUP(G150,Data!$A$5:$C$2950,3,FALSE)="Yes","Yes","No"))</f>
        <v>#N/A</v>
      </c>
      <c r="J150" s="170"/>
      <c r="K150" s="170"/>
      <c r="L150" s="171"/>
      <c r="M150" s="171"/>
      <c r="N150" s="172"/>
      <c r="O150" s="172"/>
      <c r="P150" s="171"/>
      <c r="Q150" s="172"/>
      <c r="R150" s="173"/>
      <c r="S150" s="173"/>
      <c r="T150" s="173"/>
      <c r="U150" s="173"/>
      <c r="V150" s="173"/>
      <c r="W150" s="173"/>
    </row>
    <row r="151" spans="1:23" s="198" customFormat="1" x14ac:dyDescent="0.2">
      <c r="A151" s="17">
        <v>65</v>
      </c>
      <c r="B151" s="165"/>
      <c r="C151" s="165"/>
      <c r="D151" s="351"/>
      <c r="E151" s="167"/>
      <c r="F151" s="168"/>
      <c r="G151" s="407"/>
      <c r="H151" s="169"/>
      <c r="I151" s="17" t="e">
        <f>IF(VLOOKUP(C151,Data!$H$5:$I$1201,2,FALSE)="Yes","Yes",IF(VLOOKUP(G151,Data!$A$5:$C$2950,3,FALSE)="Yes","Yes","No"))</f>
        <v>#N/A</v>
      </c>
      <c r="J151" s="170"/>
      <c r="K151" s="170"/>
      <c r="L151" s="171"/>
      <c r="M151" s="171"/>
      <c r="N151" s="172"/>
      <c r="O151" s="172"/>
      <c r="P151" s="171"/>
      <c r="Q151" s="172"/>
      <c r="R151" s="173"/>
      <c r="S151" s="173"/>
      <c r="T151" s="173"/>
      <c r="U151" s="173"/>
      <c r="V151" s="173"/>
      <c r="W151" s="173"/>
    </row>
    <row r="152" spans="1:23" x14ac:dyDescent="0.2">
      <c r="A152" s="17">
        <v>66</v>
      </c>
      <c r="B152" s="165"/>
      <c r="C152" s="165"/>
      <c r="D152" s="351"/>
      <c r="E152" s="167"/>
      <c r="F152" s="168"/>
      <c r="G152" s="407"/>
      <c r="H152" s="169"/>
      <c r="I152" s="17" t="e">
        <f>IF(VLOOKUP(C152,Data!$H$5:$I$1201,2,FALSE)="Yes","Yes",IF(VLOOKUP(G152,Data!$A$5:$C$2950,3,FALSE)="Yes","Yes","No"))</f>
        <v>#N/A</v>
      </c>
      <c r="J152" s="170"/>
      <c r="K152" s="170"/>
      <c r="L152" s="171"/>
      <c r="M152" s="171"/>
      <c r="N152" s="172"/>
      <c r="O152" s="172"/>
      <c r="P152" s="171"/>
      <c r="Q152" s="172"/>
      <c r="R152" s="173"/>
      <c r="S152" s="173"/>
      <c r="T152" s="173"/>
      <c r="U152" s="173"/>
      <c r="V152" s="173"/>
      <c r="W152" s="173"/>
    </row>
    <row r="153" spans="1:23" x14ac:dyDescent="0.2">
      <c r="A153" s="17">
        <v>67</v>
      </c>
      <c r="B153" s="165"/>
      <c r="C153" s="165"/>
      <c r="D153" s="351"/>
      <c r="E153" s="167"/>
      <c r="F153" s="168"/>
      <c r="G153" s="407"/>
      <c r="H153" s="169"/>
      <c r="I153" s="17" t="e">
        <f>IF(VLOOKUP(C153,Data!$H$5:$I$1201,2,FALSE)="Yes","Yes",IF(VLOOKUP(G153,Data!$A$5:$C$2950,3,FALSE)="Yes","Yes","No"))</f>
        <v>#N/A</v>
      </c>
      <c r="J153" s="170"/>
      <c r="K153" s="170"/>
      <c r="L153" s="171"/>
      <c r="M153" s="171"/>
      <c r="N153" s="172"/>
      <c r="O153" s="172"/>
      <c r="P153" s="171"/>
      <c r="Q153" s="172"/>
      <c r="R153" s="173"/>
      <c r="S153" s="173"/>
      <c r="T153" s="173"/>
      <c r="U153" s="173"/>
      <c r="V153" s="173"/>
      <c r="W153" s="173"/>
    </row>
    <row r="154" spans="1:23" x14ac:dyDescent="0.2">
      <c r="A154" s="17">
        <v>68</v>
      </c>
      <c r="B154" s="165"/>
      <c r="C154" s="165"/>
      <c r="D154" s="351"/>
      <c r="E154" s="167"/>
      <c r="F154" s="168"/>
      <c r="G154" s="407"/>
      <c r="H154" s="169"/>
      <c r="I154" s="17" t="e">
        <f>IF(VLOOKUP(C154,Data!$H$5:$I$1201,2,FALSE)="Yes","Yes",IF(VLOOKUP(G154,Data!$A$5:$C$2950,3,FALSE)="Yes","Yes","No"))</f>
        <v>#N/A</v>
      </c>
      <c r="J154" s="170"/>
      <c r="K154" s="170"/>
      <c r="L154" s="171"/>
      <c r="M154" s="171"/>
      <c r="N154" s="172"/>
      <c r="O154" s="172"/>
      <c r="P154" s="171"/>
      <c r="Q154" s="172"/>
      <c r="R154" s="173"/>
      <c r="S154" s="173"/>
      <c r="T154" s="173"/>
      <c r="U154" s="173"/>
      <c r="V154" s="173"/>
      <c r="W154" s="173"/>
    </row>
    <row r="155" spans="1:23" x14ac:dyDescent="0.2">
      <c r="A155" s="17">
        <v>69</v>
      </c>
      <c r="B155" s="165"/>
      <c r="C155" s="165"/>
      <c r="D155" s="351"/>
      <c r="E155" s="167"/>
      <c r="F155" s="168"/>
      <c r="G155" s="407"/>
      <c r="H155" s="169"/>
      <c r="I155" s="17" t="e">
        <f>IF(VLOOKUP(C155,Data!$H$5:$I$1201,2,FALSE)="Yes","Yes",IF(VLOOKUP(G155,Data!$A$5:$C$2950,3,FALSE)="Yes","Yes","No"))</f>
        <v>#N/A</v>
      </c>
      <c r="J155" s="170"/>
      <c r="K155" s="170"/>
      <c r="L155" s="171"/>
      <c r="M155" s="171"/>
      <c r="N155" s="172"/>
      <c r="O155" s="172"/>
      <c r="P155" s="171"/>
      <c r="Q155" s="172"/>
      <c r="R155" s="173"/>
      <c r="S155" s="173"/>
      <c r="T155" s="173"/>
      <c r="U155" s="173"/>
      <c r="V155" s="173"/>
      <c r="W155" s="173"/>
    </row>
    <row r="156" spans="1:23" x14ac:dyDescent="0.2">
      <c r="A156" s="17">
        <v>70</v>
      </c>
      <c r="B156" s="165"/>
      <c r="C156" s="165"/>
      <c r="D156" s="351"/>
      <c r="E156" s="167"/>
      <c r="F156" s="168"/>
      <c r="G156" s="407"/>
      <c r="H156" s="169"/>
      <c r="I156" s="17" t="e">
        <f>IF(VLOOKUP(C156,Data!$H$5:$I$1201,2,FALSE)="Yes","Yes",IF(VLOOKUP(G156,Data!$A$5:$C$2950,3,FALSE)="Yes","Yes","No"))</f>
        <v>#N/A</v>
      </c>
      <c r="J156" s="170"/>
      <c r="K156" s="170"/>
      <c r="L156" s="171"/>
      <c r="M156" s="171"/>
      <c r="N156" s="172"/>
      <c r="O156" s="172"/>
      <c r="P156" s="171"/>
      <c r="Q156" s="172"/>
      <c r="R156" s="173"/>
      <c r="S156" s="173"/>
      <c r="T156" s="173"/>
      <c r="U156" s="173"/>
      <c r="V156" s="173"/>
      <c r="W156" s="173"/>
    </row>
    <row r="157" spans="1:23" x14ac:dyDescent="0.2">
      <c r="A157" s="17">
        <v>71</v>
      </c>
      <c r="B157" s="165"/>
      <c r="C157" s="165"/>
      <c r="D157" s="351"/>
      <c r="E157" s="167"/>
      <c r="F157" s="168"/>
      <c r="G157" s="407"/>
      <c r="H157" s="169"/>
      <c r="I157" s="17" t="e">
        <f>IF(VLOOKUP(C157,Data!$H$5:$I$1201,2,FALSE)="Yes","Yes",IF(VLOOKUP(G157,Data!$A$5:$C$2950,3,FALSE)="Yes","Yes","No"))</f>
        <v>#N/A</v>
      </c>
      <c r="J157" s="170"/>
      <c r="K157" s="170"/>
      <c r="L157" s="171"/>
      <c r="M157" s="171"/>
      <c r="N157" s="172"/>
      <c r="O157" s="172"/>
      <c r="P157" s="171"/>
      <c r="Q157" s="172"/>
      <c r="R157" s="173"/>
      <c r="S157" s="173"/>
      <c r="T157" s="173"/>
      <c r="U157" s="173"/>
      <c r="V157" s="173"/>
      <c r="W157" s="173"/>
    </row>
    <row r="158" spans="1:23" x14ac:dyDescent="0.2">
      <c r="A158" s="17">
        <v>72</v>
      </c>
      <c r="B158" s="165"/>
      <c r="C158" s="165"/>
      <c r="D158" s="351"/>
      <c r="E158" s="167"/>
      <c r="F158" s="168"/>
      <c r="G158" s="407"/>
      <c r="H158" s="169"/>
      <c r="I158" s="17" t="e">
        <f>IF(VLOOKUP(C158,Data!$H$5:$I$1201,2,FALSE)="Yes","Yes",IF(VLOOKUP(G158,Data!$A$5:$C$2950,3,FALSE)="Yes","Yes","No"))</f>
        <v>#N/A</v>
      </c>
      <c r="J158" s="170"/>
      <c r="K158" s="170"/>
      <c r="L158" s="171"/>
      <c r="M158" s="171"/>
      <c r="N158" s="172"/>
      <c r="O158" s="172"/>
      <c r="P158" s="171"/>
      <c r="Q158" s="172"/>
      <c r="R158" s="173"/>
      <c r="S158" s="173"/>
      <c r="T158" s="173"/>
      <c r="U158" s="173"/>
      <c r="V158" s="173"/>
      <c r="W158" s="173"/>
    </row>
    <row r="159" spans="1:23" x14ac:dyDescent="0.2">
      <c r="A159" s="17">
        <v>73</v>
      </c>
      <c r="B159" s="165"/>
      <c r="C159" s="165"/>
      <c r="D159" s="351"/>
      <c r="E159" s="167"/>
      <c r="F159" s="168"/>
      <c r="G159" s="407"/>
      <c r="H159" s="169"/>
      <c r="I159" s="17" t="e">
        <f>IF(VLOOKUP(C159,Data!$H$5:$I$1201,2,FALSE)="Yes","Yes",IF(VLOOKUP(G159,Data!$A$5:$C$2950,3,FALSE)="Yes","Yes","No"))</f>
        <v>#N/A</v>
      </c>
      <c r="J159" s="170"/>
      <c r="K159" s="170"/>
      <c r="L159" s="171"/>
      <c r="M159" s="171"/>
      <c r="N159" s="172"/>
      <c r="O159" s="172"/>
      <c r="P159" s="171"/>
      <c r="Q159" s="172"/>
      <c r="R159" s="173"/>
      <c r="S159" s="173"/>
      <c r="T159" s="173"/>
      <c r="U159" s="173"/>
      <c r="V159" s="173"/>
      <c r="W159" s="173"/>
    </row>
    <row r="160" spans="1:23" x14ac:dyDescent="0.2">
      <c r="A160" s="17">
        <v>74</v>
      </c>
      <c r="B160" s="165"/>
      <c r="C160" s="165"/>
      <c r="D160" s="351"/>
      <c r="E160" s="167"/>
      <c r="F160" s="168"/>
      <c r="G160" s="407"/>
      <c r="H160" s="169"/>
      <c r="I160" s="17" t="e">
        <f>IF(VLOOKUP(C160,Data!$H$5:$I$1201,2,FALSE)="Yes","Yes",IF(VLOOKUP(G160,Data!$A$5:$C$2950,3,FALSE)="Yes","Yes","No"))</f>
        <v>#N/A</v>
      </c>
      <c r="J160" s="170"/>
      <c r="K160" s="170"/>
      <c r="L160" s="171"/>
      <c r="M160" s="171"/>
      <c r="N160" s="172"/>
      <c r="O160" s="172"/>
      <c r="P160" s="171"/>
      <c r="Q160" s="172"/>
      <c r="R160" s="173"/>
      <c r="S160" s="173"/>
      <c r="T160" s="173"/>
      <c r="U160" s="173"/>
      <c r="V160" s="173"/>
      <c r="W160" s="173"/>
    </row>
    <row r="161" spans="1:23" x14ac:dyDescent="0.2">
      <c r="A161" s="17">
        <v>75</v>
      </c>
      <c r="B161" s="165"/>
      <c r="C161" s="165"/>
      <c r="D161" s="351"/>
      <c r="E161" s="167"/>
      <c r="F161" s="168"/>
      <c r="G161" s="407"/>
      <c r="H161" s="169"/>
      <c r="I161" s="17" t="e">
        <f>IF(VLOOKUP(C161,Data!$H$5:$I$1201,2,FALSE)="Yes","Yes",IF(VLOOKUP(G161,Data!$A$5:$C$2950,3,FALSE)="Yes","Yes","No"))</f>
        <v>#N/A</v>
      </c>
      <c r="J161" s="170"/>
      <c r="K161" s="170"/>
      <c r="L161" s="171"/>
      <c r="M161" s="171"/>
      <c r="N161" s="172"/>
      <c r="O161" s="172"/>
      <c r="P161" s="171"/>
      <c r="Q161" s="172"/>
      <c r="R161" s="173"/>
      <c r="S161" s="173"/>
      <c r="T161" s="173"/>
      <c r="U161" s="173"/>
      <c r="V161" s="173"/>
      <c r="W161" s="173"/>
    </row>
    <row r="162" spans="1:23" x14ac:dyDescent="0.2">
      <c r="A162" s="17">
        <v>76</v>
      </c>
      <c r="B162" s="165"/>
      <c r="C162" s="165"/>
      <c r="D162" s="351"/>
      <c r="E162" s="167"/>
      <c r="F162" s="168"/>
      <c r="G162" s="407"/>
      <c r="H162" s="169"/>
      <c r="I162" s="17" t="e">
        <f>IF(VLOOKUP(C162,Data!$H$5:$I$1201,2,FALSE)="Yes","Yes",IF(VLOOKUP(G162,Data!$A$5:$C$2950,3,FALSE)="Yes","Yes","No"))</f>
        <v>#N/A</v>
      </c>
      <c r="J162" s="170"/>
      <c r="K162" s="170"/>
      <c r="L162" s="171"/>
      <c r="M162" s="171"/>
      <c r="N162" s="172"/>
      <c r="O162" s="172"/>
      <c r="P162" s="171"/>
      <c r="Q162" s="172"/>
      <c r="R162" s="173"/>
      <c r="S162" s="173"/>
      <c r="T162" s="173"/>
      <c r="U162" s="173"/>
      <c r="V162" s="173"/>
      <c r="W162" s="173"/>
    </row>
    <row r="163" spans="1:23" x14ac:dyDescent="0.2">
      <c r="A163" s="17">
        <v>77</v>
      </c>
      <c r="B163" s="165"/>
      <c r="C163" s="165"/>
      <c r="D163" s="351"/>
      <c r="E163" s="167"/>
      <c r="F163" s="168"/>
      <c r="G163" s="407"/>
      <c r="H163" s="169"/>
      <c r="I163" s="17" t="e">
        <f>IF(VLOOKUP(C163,Data!$H$5:$I$1201,2,FALSE)="Yes","Yes",IF(VLOOKUP(G163,Data!$A$5:$C$2950,3,FALSE)="Yes","Yes","No"))</f>
        <v>#N/A</v>
      </c>
      <c r="J163" s="170"/>
      <c r="K163" s="170"/>
      <c r="L163" s="171"/>
      <c r="M163" s="171"/>
      <c r="N163" s="172"/>
      <c r="O163" s="172"/>
      <c r="P163" s="171"/>
      <c r="Q163" s="172"/>
      <c r="R163" s="173"/>
      <c r="S163" s="173"/>
      <c r="T163" s="173"/>
      <c r="U163" s="173"/>
      <c r="V163" s="173"/>
      <c r="W163" s="173"/>
    </row>
    <row r="164" spans="1:23" x14ac:dyDescent="0.2">
      <c r="A164" s="17">
        <v>78</v>
      </c>
      <c r="B164" s="165"/>
      <c r="C164" s="165"/>
      <c r="D164" s="351"/>
      <c r="E164" s="167"/>
      <c r="F164" s="168"/>
      <c r="G164" s="407"/>
      <c r="H164" s="169"/>
      <c r="I164" s="17" t="e">
        <f>IF(VLOOKUP(C164,Data!$H$5:$I$1201,2,FALSE)="Yes","Yes",IF(VLOOKUP(G164,Data!$A$5:$C$2950,3,FALSE)="Yes","Yes","No"))</f>
        <v>#N/A</v>
      </c>
      <c r="J164" s="170"/>
      <c r="K164" s="170"/>
      <c r="L164" s="171"/>
      <c r="M164" s="171"/>
      <c r="N164" s="172"/>
      <c r="O164" s="172"/>
      <c r="P164" s="171"/>
      <c r="Q164" s="172"/>
      <c r="R164" s="173"/>
      <c r="S164" s="173"/>
      <c r="T164" s="173"/>
      <c r="U164" s="173"/>
      <c r="V164" s="173"/>
      <c r="W164" s="173"/>
    </row>
    <row r="165" spans="1:23" x14ac:dyDescent="0.2">
      <c r="A165" s="17">
        <v>79</v>
      </c>
      <c r="B165" s="165"/>
      <c r="C165" s="165"/>
      <c r="D165" s="351"/>
      <c r="E165" s="167"/>
      <c r="F165" s="168"/>
      <c r="G165" s="407"/>
      <c r="H165" s="169"/>
      <c r="I165" s="17" t="e">
        <f>IF(VLOOKUP(C165,Data!$H$5:$I$1201,2,FALSE)="Yes","Yes",IF(VLOOKUP(G165,Data!$A$5:$C$2950,3,FALSE)="Yes","Yes","No"))</f>
        <v>#N/A</v>
      </c>
      <c r="J165" s="170"/>
      <c r="K165" s="170"/>
      <c r="L165" s="171"/>
      <c r="M165" s="171"/>
      <c r="N165" s="172"/>
      <c r="O165" s="172"/>
      <c r="P165" s="171"/>
      <c r="Q165" s="172"/>
      <c r="R165" s="173"/>
      <c r="S165" s="173"/>
      <c r="T165" s="173"/>
      <c r="U165" s="173"/>
      <c r="V165" s="173"/>
      <c r="W165" s="173"/>
    </row>
    <row r="166" spans="1:23" s="198" customFormat="1" x14ac:dyDescent="0.2">
      <c r="A166" s="17">
        <v>80</v>
      </c>
      <c r="B166" s="165"/>
      <c r="C166" s="165"/>
      <c r="D166" s="351"/>
      <c r="E166" s="167"/>
      <c r="F166" s="168"/>
      <c r="G166" s="407"/>
      <c r="H166" s="169"/>
      <c r="I166" s="17" t="e">
        <f>IF(VLOOKUP(C166,Data!$H$5:$I$1201,2,FALSE)="Yes","Yes",IF(VLOOKUP(G166,Data!$A$5:$C$2950,3,FALSE)="Yes","Yes","No"))</f>
        <v>#N/A</v>
      </c>
      <c r="J166" s="170"/>
      <c r="K166" s="170"/>
      <c r="L166" s="171"/>
      <c r="M166" s="171"/>
      <c r="N166" s="172"/>
      <c r="O166" s="172"/>
      <c r="P166" s="171"/>
      <c r="Q166" s="172"/>
      <c r="R166" s="173"/>
      <c r="S166" s="173"/>
      <c r="T166" s="173"/>
      <c r="U166" s="173"/>
      <c r="V166" s="173"/>
      <c r="W166" s="173"/>
    </row>
    <row r="167" spans="1:23" x14ac:dyDescent="0.2">
      <c r="A167" s="17">
        <v>81</v>
      </c>
      <c r="B167" s="165"/>
      <c r="C167" s="165"/>
      <c r="D167" s="351"/>
      <c r="E167" s="167"/>
      <c r="F167" s="168"/>
      <c r="G167" s="407"/>
      <c r="H167" s="169"/>
      <c r="I167" s="17" t="e">
        <f>IF(VLOOKUP(C167,Data!$H$5:$I$1201,2,FALSE)="Yes","Yes",IF(VLOOKUP(G167,Data!$A$5:$C$2950,3,FALSE)="Yes","Yes","No"))</f>
        <v>#N/A</v>
      </c>
      <c r="J167" s="170"/>
      <c r="K167" s="170"/>
      <c r="L167" s="171"/>
      <c r="M167" s="171"/>
      <c r="N167" s="172"/>
      <c r="O167" s="172"/>
      <c r="P167" s="171"/>
      <c r="Q167" s="172"/>
      <c r="R167" s="173"/>
      <c r="S167" s="173"/>
      <c r="T167" s="173"/>
      <c r="U167" s="173"/>
      <c r="V167" s="173"/>
      <c r="W167" s="173"/>
    </row>
    <row r="168" spans="1:23" x14ac:dyDescent="0.2">
      <c r="A168" s="17">
        <v>82</v>
      </c>
      <c r="B168" s="165"/>
      <c r="C168" s="165"/>
      <c r="D168" s="351"/>
      <c r="E168" s="167"/>
      <c r="F168" s="168"/>
      <c r="G168" s="407"/>
      <c r="H168" s="169"/>
      <c r="I168" s="17" t="e">
        <f>IF(VLOOKUP(C168,Data!$H$5:$I$1201,2,FALSE)="Yes","Yes",IF(VLOOKUP(G168,Data!$A$5:$C$2950,3,FALSE)="Yes","Yes","No"))</f>
        <v>#N/A</v>
      </c>
      <c r="J168" s="170"/>
      <c r="K168" s="170"/>
      <c r="L168" s="171"/>
      <c r="M168" s="171"/>
      <c r="N168" s="172"/>
      <c r="O168" s="172"/>
      <c r="P168" s="171"/>
      <c r="Q168" s="172"/>
      <c r="R168" s="173"/>
      <c r="S168" s="173"/>
      <c r="T168" s="173"/>
      <c r="U168" s="173"/>
      <c r="V168" s="173"/>
      <c r="W168" s="173"/>
    </row>
    <row r="169" spans="1:23" x14ac:dyDescent="0.2">
      <c r="A169" s="17">
        <v>83</v>
      </c>
      <c r="B169" s="165"/>
      <c r="C169" s="165"/>
      <c r="D169" s="351"/>
      <c r="E169" s="167"/>
      <c r="F169" s="168"/>
      <c r="G169" s="407"/>
      <c r="H169" s="169"/>
      <c r="I169" s="17" t="e">
        <f>IF(VLOOKUP(C169,Data!$H$5:$I$1201,2,FALSE)="Yes","Yes",IF(VLOOKUP(G169,Data!$A$5:$C$2950,3,FALSE)="Yes","Yes","No"))</f>
        <v>#N/A</v>
      </c>
      <c r="J169" s="170"/>
      <c r="K169" s="170"/>
      <c r="L169" s="171"/>
      <c r="M169" s="171"/>
      <c r="N169" s="172"/>
      <c r="O169" s="172"/>
      <c r="P169" s="171"/>
      <c r="Q169" s="172"/>
      <c r="R169" s="173"/>
      <c r="S169" s="173"/>
      <c r="T169" s="173"/>
      <c r="U169" s="173"/>
      <c r="V169" s="173"/>
      <c r="W169" s="173"/>
    </row>
    <row r="170" spans="1:23" x14ac:dyDescent="0.2">
      <c r="A170" s="17">
        <v>84</v>
      </c>
      <c r="B170" s="165"/>
      <c r="C170" s="165"/>
      <c r="D170" s="351"/>
      <c r="E170" s="167"/>
      <c r="F170" s="168"/>
      <c r="G170" s="407"/>
      <c r="H170" s="169"/>
      <c r="I170" s="17" t="e">
        <f>IF(VLOOKUP(C170,Data!$H$5:$I$1201,2,FALSE)="Yes","Yes",IF(VLOOKUP(G170,Data!$A$5:$C$2950,3,FALSE)="Yes","Yes","No"))</f>
        <v>#N/A</v>
      </c>
      <c r="J170" s="170"/>
      <c r="K170" s="170"/>
      <c r="L170" s="171"/>
      <c r="M170" s="171"/>
      <c r="N170" s="172"/>
      <c r="O170" s="172"/>
      <c r="P170" s="171"/>
      <c r="Q170" s="172"/>
      <c r="R170" s="173"/>
      <c r="S170" s="173"/>
      <c r="T170" s="173"/>
      <c r="U170" s="173"/>
      <c r="V170" s="173"/>
      <c r="W170" s="173"/>
    </row>
    <row r="171" spans="1:23" s="198" customFormat="1" x14ac:dyDescent="0.2">
      <c r="A171" s="17">
        <v>85</v>
      </c>
      <c r="B171" s="165"/>
      <c r="C171" s="165"/>
      <c r="D171" s="351"/>
      <c r="E171" s="167"/>
      <c r="F171" s="168"/>
      <c r="G171" s="407"/>
      <c r="H171" s="169"/>
      <c r="I171" s="17" t="e">
        <f>IF(VLOOKUP(C171,Data!$H$5:$I$1201,2,FALSE)="Yes","Yes",IF(VLOOKUP(G171,Data!$A$5:$C$2950,3,FALSE)="Yes","Yes","No"))</f>
        <v>#N/A</v>
      </c>
      <c r="J171" s="170"/>
      <c r="K171" s="170"/>
      <c r="L171" s="171"/>
      <c r="M171" s="171"/>
      <c r="N171" s="172"/>
      <c r="O171" s="172"/>
      <c r="P171" s="171"/>
      <c r="Q171" s="172"/>
      <c r="R171" s="173"/>
      <c r="S171" s="173"/>
      <c r="T171" s="173"/>
      <c r="U171" s="173"/>
      <c r="V171" s="173"/>
      <c r="W171" s="173"/>
    </row>
    <row r="172" spans="1:23" x14ac:dyDescent="0.2">
      <c r="A172" s="17">
        <v>86</v>
      </c>
      <c r="B172" s="165"/>
      <c r="C172" s="165"/>
      <c r="D172" s="351"/>
      <c r="E172" s="167"/>
      <c r="F172" s="168"/>
      <c r="G172" s="407"/>
      <c r="H172" s="169"/>
      <c r="I172" s="17" t="e">
        <f>IF(VLOOKUP(C172,Data!$H$5:$I$1201,2,FALSE)="Yes","Yes",IF(VLOOKUP(G172,Data!$A$5:$C$2950,3,FALSE)="Yes","Yes","No"))</f>
        <v>#N/A</v>
      </c>
      <c r="J172" s="170"/>
      <c r="K172" s="170"/>
      <c r="L172" s="171"/>
      <c r="M172" s="171"/>
      <c r="N172" s="172"/>
      <c r="O172" s="172"/>
      <c r="P172" s="171"/>
      <c r="Q172" s="172"/>
      <c r="R172" s="173"/>
      <c r="S172" s="173"/>
      <c r="T172" s="173"/>
      <c r="U172" s="173"/>
      <c r="V172" s="173"/>
      <c r="W172" s="173"/>
    </row>
    <row r="173" spans="1:23" x14ac:dyDescent="0.2">
      <c r="A173" s="17">
        <v>87</v>
      </c>
      <c r="B173" s="165"/>
      <c r="C173" s="165"/>
      <c r="D173" s="351"/>
      <c r="E173" s="167"/>
      <c r="F173" s="168"/>
      <c r="G173" s="407"/>
      <c r="H173" s="169"/>
      <c r="I173" s="17" t="e">
        <f>IF(VLOOKUP(C173,Data!$H$5:$I$1201,2,FALSE)="Yes","Yes",IF(VLOOKUP(G173,Data!$A$5:$C$2950,3,FALSE)="Yes","Yes","No"))</f>
        <v>#N/A</v>
      </c>
      <c r="J173" s="170"/>
      <c r="K173" s="170"/>
      <c r="L173" s="171"/>
      <c r="M173" s="171"/>
      <c r="N173" s="172"/>
      <c r="O173" s="172"/>
      <c r="P173" s="171"/>
      <c r="Q173" s="172"/>
      <c r="R173" s="173"/>
      <c r="S173" s="173"/>
      <c r="T173" s="173"/>
      <c r="U173" s="173"/>
      <c r="V173" s="173"/>
      <c r="W173" s="173"/>
    </row>
    <row r="174" spans="1:23" x14ac:dyDescent="0.2">
      <c r="A174" s="17">
        <v>88</v>
      </c>
      <c r="B174" s="165"/>
      <c r="C174" s="165"/>
      <c r="D174" s="351"/>
      <c r="E174" s="167"/>
      <c r="F174" s="168"/>
      <c r="G174" s="407"/>
      <c r="H174" s="169"/>
      <c r="I174" s="17" t="e">
        <f>IF(VLOOKUP(C174,Data!$H$5:$I$1201,2,FALSE)="Yes","Yes",IF(VLOOKUP(G174,Data!$A$5:$C$2950,3,FALSE)="Yes","Yes","No"))</f>
        <v>#N/A</v>
      </c>
      <c r="J174" s="170"/>
      <c r="K174" s="170"/>
      <c r="L174" s="171"/>
      <c r="M174" s="171"/>
      <c r="N174" s="172"/>
      <c r="O174" s="172"/>
      <c r="P174" s="171"/>
      <c r="Q174" s="172"/>
      <c r="R174" s="173"/>
      <c r="S174" s="173"/>
      <c r="T174" s="173"/>
      <c r="U174" s="173"/>
      <c r="V174" s="173"/>
      <c r="W174" s="173"/>
    </row>
    <row r="175" spans="1:23" x14ac:dyDescent="0.2">
      <c r="A175" s="17">
        <v>89</v>
      </c>
      <c r="B175" s="165"/>
      <c r="C175" s="165"/>
      <c r="D175" s="351"/>
      <c r="E175" s="167"/>
      <c r="F175" s="168"/>
      <c r="G175" s="407"/>
      <c r="H175" s="169"/>
      <c r="I175" s="17" t="e">
        <f>IF(VLOOKUP(C175,Data!$H$5:$I$1201,2,FALSE)="Yes","Yes",IF(VLOOKUP(G175,Data!$A$5:$C$2950,3,FALSE)="Yes","Yes","No"))</f>
        <v>#N/A</v>
      </c>
      <c r="J175" s="170"/>
      <c r="K175" s="170"/>
      <c r="L175" s="171"/>
      <c r="M175" s="171"/>
      <c r="N175" s="172"/>
      <c r="O175" s="172"/>
      <c r="P175" s="171"/>
      <c r="Q175" s="172"/>
      <c r="R175" s="173"/>
      <c r="S175" s="173"/>
      <c r="T175" s="173"/>
      <c r="U175" s="173"/>
      <c r="V175" s="173"/>
      <c r="W175" s="173"/>
    </row>
    <row r="176" spans="1:23" x14ac:dyDescent="0.2">
      <c r="A176" s="17">
        <v>90</v>
      </c>
      <c r="B176" s="165"/>
      <c r="C176" s="165"/>
      <c r="D176" s="351"/>
      <c r="E176" s="167"/>
      <c r="F176" s="168"/>
      <c r="G176" s="407"/>
      <c r="H176" s="169"/>
      <c r="I176" s="17" t="e">
        <f>IF(VLOOKUP(C176,Data!$H$5:$I$1201,2,FALSE)="Yes","Yes",IF(VLOOKUP(G176,Data!$A$5:$C$2950,3,FALSE)="Yes","Yes","No"))</f>
        <v>#N/A</v>
      </c>
      <c r="J176" s="170"/>
      <c r="K176" s="170"/>
      <c r="L176" s="171"/>
      <c r="M176" s="171"/>
      <c r="N176" s="172"/>
      <c r="O176" s="172"/>
      <c r="P176" s="171"/>
      <c r="Q176" s="172"/>
      <c r="R176" s="173"/>
      <c r="S176" s="173"/>
      <c r="T176" s="173"/>
      <c r="U176" s="173"/>
      <c r="V176" s="173"/>
      <c r="W176" s="173"/>
    </row>
    <row r="177" spans="1:23" x14ac:dyDescent="0.2">
      <c r="A177" s="17">
        <v>91</v>
      </c>
      <c r="B177" s="165"/>
      <c r="C177" s="165"/>
      <c r="D177" s="351"/>
      <c r="E177" s="167"/>
      <c r="F177" s="168"/>
      <c r="G177" s="407"/>
      <c r="H177" s="169"/>
      <c r="I177" s="17" t="e">
        <f>IF(VLOOKUP(C177,Data!$H$5:$I$1201,2,FALSE)="Yes","Yes",IF(VLOOKUP(G177,Data!$A$5:$C$2950,3,FALSE)="Yes","Yes","No"))</f>
        <v>#N/A</v>
      </c>
      <c r="J177" s="170"/>
      <c r="K177" s="170"/>
      <c r="L177" s="171"/>
      <c r="M177" s="171"/>
      <c r="N177" s="172"/>
      <c r="O177" s="172"/>
      <c r="P177" s="171"/>
      <c r="Q177" s="172"/>
      <c r="R177" s="173"/>
      <c r="S177" s="173"/>
      <c r="T177" s="173"/>
      <c r="U177" s="173"/>
      <c r="V177" s="173"/>
      <c r="W177" s="173"/>
    </row>
    <row r="178" spans="1:23" x14ac:dyDescent="0.2">
      <c r="A178" s="17">
        <v>92</v>
      </c>
      <c r="B178" s="165"/>
      <c r="C178" s="165"/>
      <c r="D178" s="351"/>
      <c r="E178" s="167"/>
      <c r="F178" s="168"/>
      <c r="G178" s="407"/>
      <c r="H178" s="169"/>
      <c r="I178" s="17" t="e">
        <f>IF(VLOOKUP(C178,Data!$H$5:$I$1201,2,FALSE)="Yes","Yes",IF(VLOOKUP(G178,Data!$A$5:$C$2950,3,FALSE)="Yes","Yes","No"))</f>
        <v>#N/A</v>
      </c>
      <c r="J178" s="170"/>
      <c r="K178" s="170"/>
      <c r="L178" s="171"/>
      <c r="M178" s="171"/>
      <c r="N178" s="172"/>
      <c r="O178" s="172"/>
      <c r="P178" s="171"/>
      <c r="Q178" s="172"/>
      <c r="R178" s="173"/>
      <c r="S178" s="173"/>
      <c r="T178" s="173"/>
      <c r="U178" s="173"/>
      <c r="V178" s="173"/>
      <c r="W178" s="173"/>
    </row>
    <row r="179" spans="1:23" x14ac:dyDescent="0.2">
      <c r="A179" s="17">
        <v>93</v>
      </c>
      <c r="B179" s="165"/>
      <c r="C179" s="165"/>
      <c r="D179" s="351"/>
      <c r="E179" s="167"/>
      <c r="F179" s="168"/>
      <c r="G179" s="407"/>
      <c r="H179" s="169"/>
      <c r="I179" s="17" t="e">
        <f>IF(VLOOKUP(C179,Data!$H$5:$I$1201,2,FALSE)="Yes","Yes",IF(VLOOKUP(G179,Data!$A$5:$C$2950,3,FALSE)="Yes","Yes","No"))</f>
        <v>#N/A</v>
      </c>
      <c r="J179" s="170"/>
      <c r="K179" s="170"/>
      <c r="L179" s="171"/>
      <c r="M179" s="171"/>
      <c r="N179" s="172"/>
      <c r="O179" s="172"/>
      <c r="P179" s="171"/>
      <c r="Q179" s="172"/>
      <c r="R179" s="173"/>
      <c r="S179" s="173"/>
      <c r="T179" s="173"/>
      <c r="U179" s="173"/>
      <c r="V179" s="173"/>
      <c r="W179" s="173"/>
    </row>
    <row r="180" spans="1:23" x14ac:dyDescent="0.2">
      <c r="A180" s="17">
        <v>94</v>
      </c>
      <c r="B180" s="165"/>
      <c r="C180" s="165"/>
      <c r="D180" s="351"/>
      <c r="E180" s="167"/>
      <c r="F180" s="168"/>
      <c r="G180" s="407"/>
      <c r="H180" s="169"/>
      <c r="I180" s="17" t="e">
        <f>IF(VLOOKUP(C180,Data!$H$5:$I$1201,2,FALSE)="Yes","Yes",IF(VLOOKUP(G180,Data!$A$5:$C$2950,3,FALSE)="Yes","Yes","No"))</f>
        <v>#N/A</v>
      </c>
      <c r="J180" s="170"/>
      <c r="K180" s="170"/>
      <c r="L180" s="171"/>
      <c r="M180" s="171"/>
      <c r="N180" s="172"/>
      <c r="O180" s="172"/>
      <c r="P180" s="171"/>
      <c r="Q180" s="172"/>
      <c r="R180" s="173"/>
      <c r="S180" s="173"/>
      <c r="T180" s="173"/>
      <c r="U180" s="173"/>
      <c r="V180" s="173"/>
      <c r="W180" s="173"/>
    </row>
    <row r="181" spans="1:23" x14ac:dyDescent="0.2">
      <c r="A181" s="17">
        <v>95</v>
      </c>
      <c r="B181" s="165"/>
      <c r="C181" s="165"/>
      <c r="D181" s="351"/>
      <c r="E181" s="167"/>
      <c r="F181" s="168"/>
      <c r="G181" s="407"/>
      <c r="H181" s="169"/>
      <c r="I181" s="17" t="e">
        <f>IF(VLOOKUP(C181,Data!$H$5:$I$1201,2,FALSE)="Yes","Yes",IF(VLOOKUP(G181,Data!$A$5:$C$2950,3,FALSE)="Yes","Yes","No"))</f>
        <v>#N/A</v>
      </c>
      <c r="J181" s="170"/>
      <c r="K181" s="170"/>
      <c r="L181" s="171"/>
      <c r="M181" s="171"/>
      <c r="N181" s="172"/>
      <c r="O181" s="172"/>
      <c r="P181" s="171"/>
      <c r="Q181" s="172"/>
      <c r="R181" s="173"/>
      <c r="S181" s="173"/>
      <c r="T181" s="173"/>
      <c r="U181" s="173"/>
      <c r="V181" s="173"/>
      <c r="W181" s="173"/>
    </row>
    <row r="182" spans="1:23" x14ac:dyDescent="0.2">
      <c r="A182" s="17">
        <v>96</v>
      </c>
      <c r="B182" s="165"/>
      <c r="C182" s="165"/>
      <c r="D182" s="351"/>
      <c r="E182" s="167"/>
      <c r="F182" s="168"/>
      <c r="G182" s="407"/>
      <c r="H182" s="169"/>
      <c r="I182" s="17" t="e">
        <f>IF(VLOOKUP(C182,Data!$H$5:$I$1201,2,FALSE)="Yes","Yes",IF(VLOOKUP(G182,Data!$A$5:$C$2950,3,FALSE)="Yes","Yes","No"))</f>
        <v>#N/A</v>
      </c>
      <c r="J182" s="170"/>
      <c r="K182" s="170"/>
      <c r="L182" s="171"/>
      <c r="M182" s="171"/>
      <c r="N182" s="172"/>
      <c r="O182" s="172"/>
      <c r="P182" s="171"/>
      <c r="Q182" s="172"/>
      <c r="R182" s="173"/>
      <c r="S182" s="173"/>
      <c r="T182" s="173"/>
      <c r="U182" s="173"/>
      <c r="V182" s="173"/>
      <c r="W182" s="173"/>
    </row>
    <row r="183" spans="1:23" x14ac:dyDescent="0.2">
      <c r="A183" s="17">
        <v>97</v>
      </c>
      <c r="B183" s="165"/>
      <c r="C183" s="165"/>
      <c r="D183" s="351"/>
      <c r="E183" s="167"/>
      <c r="F183" s="168"/>
      <c r="G183" s="407"/>
      <c r="H183" s="169"/>
      <c r="I183" s="17" t="e">
        <f>IF(VLOOKUP(C183,Data!$H$5:$I$1201,2,FALSE)="Yes","Yes",IF(VLOOKUP(G183,Data!$A$5:$C$2950,3,FALSE)="Yes","Yes","No"))</f>
        <v>#N/A</v>
      </c>
      <c r="J183" s="170"/>
      <c r="K183" s="170"/>
      <c r="L183" s="171"/>
      <c r="M183" s="171"/>
      <c r="N183" s="172"/>
      <c r="O183" s="172"/>
      <c r="P183" s="171"/>
      <c r="Q183" s="172"/>
      <c r="R183" s="173"/>
      <c r="S183" s="173"/>
      <c r="T183" s="173"/>
      <c r="U183" s="173"/>
      <c r="V183" s="173"/>
      <c r="W183" s="173"/>
    </row>
    <row r="184" spans="1:23" x14ac:dyDescent="0.2">
      <c r="A184" s="17">
        <v>98</v>
      </c>
      <c r="B184" s="165"/>
      <c r="C184" s="165"/>
      <c r="D184" s="351"/>
      <c r="E184" s="167"/>
      <c r="F184" s="168"/>
      <c r="G184" s="407"/>
      <c r="H184" s="169"/>
      <c r="I184" s="17" t="e">
        <f>IF(VLOOKUP(C184,Data!$H$5:$I$1201,2,FALSE)="Yes","Yes",IF(VLOOKUP(G184,Data!$A$5:$C$2950,3,FALSE)="Yes","Yes","No"))</f>
        <v>#N/A</v>
      </c>
      <c r="J184" s="170"/>
      <c r="K184" s="170"/>
      <c r="L184" s="171"/>
      <c r="M184" s="171"/>
      <c r="N184" s="172"/>
      <c r="O184" s="172"/>
      <c r="P184" s="171"/>
      <c r="Q184" s="172"/>
      <c r="R184" s="173"/>
      <c r="S184" s="173"/>
      <c r="T184" s="173"/>
      <c r="U184" s="173"/>
      <c r="V184" s="173"/>
      <c r="W184" s="173"/>
    </row>
    <row r="185" spans="1:23" x14ac:dyDescent="0.2">
      <c r="A185" s="17">
        <v>99</v>
      </c>
      <c r="B185" s="165"/>
      <c r="C185" s="165"/>
      <c r="D185" s="351"/>
      <c r="E185" s="167"/>
      <c r="F185" s="168"/>
      <c r="G185" s="407"/>
      <c r="H185" s="169"/>
      <c r="I185" s="17" t="e">
        <f>IF(VLOOKUP(C185,Data!$H$5:$I$1201,2,FALSE)="Yes","Yes",IF(VLOOKUP(G185,Data!$A$5:$C$2950,3,FALSE)="Yes","Yes","No"))</f>
        <v>#N/A</v>
      </c>
      <c r="J185" s="170"/>
      <c r="K185" s="170"/>
      <c r="L185" s="171"/>
      <c r="M185" s="171"/>
      <c r="N185" s="172"/>
      <c r="O185" s="172"/>
      <c r="P185" s="171"/>
      <c r="Q185" s="172"/>
      <c r="R185" s="173"/>
      <c r="S185" s="173"/>
      <c r="T185" s="173"/>
      <c r="U185" s="173"/>
      <c r="V185" s="173"/>
      <c r="W185" s="173"/>
    </row>
    <row r="186" spans="1:23" s="198" customFormat="1" x14ac:dyDescent="0.2">
      <c r="A186" s="17">
        <v>100</v>
      </c>
      <c r="B186" s="165"/>
      <c r="C186" s="165"/>
      <c r="D186" s="351"/>
      <c r="E186" s="167"/>
      <c r="F186" s="168"/>
      <c r="G186" s="407"/>
      <c r="H186" s="169"/>
      <c r="I186" s="17" t="e">
        <f>IF(VLOOKUP(C186,Data!$H$5:$I$1201,2,FALSE)="Yes","Yes",IF(VLOOKUP(G186,Data!$A$5:$C$2950,3,FALSE)="Yes","Yes","No"))</f>
        <v>#N/A</v>
      </c>
      <c r="J186" s="170"/>
      <c r="K186" s="170"/>
      <c r="L186" s="171"/>
      <c r="M186" s="171"/>
      <c r="N186" s="172"/>
      <c r="O186" s="172"/>
      <c r="P186" s="171"/>
      <c r="Q186" s="172"/>
      <c r="R186" s="173"/>
      <c r="S186" s="173"/>
      <c r="T186" s="173"/>
      <c r="U186" s="173"/>
      <c r="V186" s="173"/>
      <c r="W186" s="173"/>
    </row>
    <row r="187" spans="1:23" ht="15" x14ac:dyDescent="0.25">
      <c r="A187" s="13" t="s">
        <v>3105</v>
      </c>
      <c r="B187" s="13">
        <f>COUNT(C87:C186)</f>
        <v>0</v>
      </c>
      <c r="F187" s="102">
        <f>SUM(F87:F186)</f>
        <v>0</v>
      </c>
      <c r="J187" s="102" t="s">
        <v>4241</v>
      </c>
      <c r="K187" s="396" t="str">
        <f>IFERROR(SMALL(K87:K186,1),"Enter Date Constructed")</f>
        <v>Enter Date Constructed</v>
      </c>
      <c r="O187" s="13" t="s">
        <v>4281</v>
      </c>
      <c r="P187" s="13" t="str">
        <f>IFERROR(LARGE(P87:P186,1),"Enter Floors")</f>
        <v>Enter Floors</v>
      </c>
      <c r="R187" s="16">
        <f t="shared" ref="R187:W187" si="0">SUM(R87:R186)</f>
        <v>0</v>
      </c>
      <c r="S187" s="16">
        <f t="shared" si="0"/>
        <v>0</v>
      </c>
      <c r="T187" s="16">
        <f t="shared" si="0"/>
        <v>0</v>
      </c>
      <c r="U187" s="16">
        <f t="shared" si="0"/>
        <v>0</v>
      </c>
      <c r="V187" s="16">
        <f t="shared" si="0"/>
        <v>0</v>
      </c>
      <c r="W187" s="16">
        <f t="shared" si="0"/>
        <v>0</v>
      </c>
    </row>
    <row r="188" spans="1:23" x14ac:dyDescent="0.2">
      <c r="R188" s="92" t="str">
        <f>IF(R187&lt;&gt;'Budget &amp; Costs'!C45,"Unit Count Does Not Match Budget Page","")</f>
        <v/>
      </c>
      <c r="U188" s="352"/>
    </row>
    <row r="189" spans="1:23" ht="15" x14ac:dyDescent="0.25">
      <c r="B189" s="16" t="s">
        <v>4153</v>
      </c>
      <c r="C189" s="16" t="s">
        <v>3123</v>
      </c>
      <c r="D189" s="16" t="s">
        <v>3124</v>
      </c>
      <c r="E189" s="16" t="s">
        <v>4818</v>
      </c>
      <c r="F189" s="16" t="s">
        <v>3105</v>
      </c>
      <c r="H189" s="191"/>
      <c r="I189" s="191"/>
      <c r="J189" s="191"/>
    </row>
    <row r="190" spans="1:23" x14ac:dyDescent="0.2">
      <c r="B190" s="188" t="s">
        <v>3121</v>
      </c>
      <c r="C190" s="17">
        <f>SUM(COUNTIFS(E87:E186,{"Recorded Deed","Executed Option","Purchase Contract","Long Term Lease"},H87:H186,"New Construction"))</f>
        <v>0</v>
      </c>
      <c r="D190" s="17">
        <f>SUM(COUNTIFS(E87:E186,{"Recorded Deed","Executed Option","Purchase Contract","Long Term Lease"},H87:H186,"Rehabilitation"))</f>
        <v>0</v>
      </c>
      <c r="E190" s="17">
        <f>SUM(COUNTIFS(E87:E186,{"Recorded Deed","Executed Option","Purchase Contract","Long Term Lease"},H87:H186,"Adaptive Reuse"))</f>
        <v>0</v>
      </c>
      <c r="F190" s="17">
        <f t="shared" ref="F190:F195" si="1">SUM(C190:E190)</f>
        <v>0</v>
      </c>
      <c r="H190" s="191"/>
      <c r="I190" s="191"/>
      <c r="J190" s="191"/>
    </row>
    <row r="191" spans="1:23" x14ac:dyDescent="0.2">
      <c r="B191" s="188" t="s">
        <v>3122</v>
      </c>
      <c r="C191" s="17">
        <f>COUNTIFS(E87:E186,"Proposed to Acquire",H87:H186,"New Construction")</f>
        <v>0</v>
      </c>
      <c r="D191" s="17">
        <f>COUNTIFS(E87:E186,"Proposed to Acquire",H87:H186,"Rehabilitation")</f>
        <v>0</v>
      </c>
      <c r="E191" s="17">
        <f>COUNTIFS(E87:E186,"Proposed to Acquire",H87:H186,"Adaptive Reuse")</f>
        <v>0</v>
      </c>
      <c r="F191" s="17">
        <f t="shared" si="1"/>
        <v>0</v>
      </c>
      <c r="H191" s="191"/>
      <c r="I191" s="191"/>
      <c r="J191" s="191"/>
    </row>
    <row r="192" spans="1:23" x14ac:dyDescent="0.2">
      <c r="B192" s="188" t="s">
        <v>3128</v>
      </c>
      <c r="C192" s="367" t="str">
        <f>IF((C190+C191&gt;0),(C190/(C190+C191)),"N/A")</f>
        <v>N/A</v>
      </c>
      <c r="D192" s="367" t="str">
        <f>IF((D190+D191&gt;0),(D190/(D190+D191)),"N/A")</f>
        <v>N/A</v>
      </c>
      <c r="E192" s="367" t="str">
        <f>IF((E190+E191&gt;0),(E190/(E190+E191)),"N/A")</f>
        <v>N/A</v>
      </c>
      <c r="F192" s="367">
        <f t="shared" si="1"/>
        <v>0</v>
      </c>
      <c r="H192" s="191"/>
      <c r="I192" s="191"/>
      <c r="J192" s="191"/>
    </row>
    <row r="193" spans="1:22" x14ac:dyDescent="0.2">
      <c r="B193" s="188" t="s">
        <v>3549</v>
      </c>
      <c r="C193" s="368">
        <f>COUNTIFS(I87:I186,"Yes",H87:H186,"New Construction")</f>
        <v>0</v>
      </c>
      <c r="D193" s="368">
        <f>COUNTIFS(I87:I186,"Yes",H87:H186,"Rehabilitation")</f>
        <v>0</v>
      </c>
      <c r="E193" s="368">
        <f>COUNTIFS(I87:I186,"Yes",H87:H186,"Adaptive Reuse")</f>
        <v>0</v>
      </c>
      <c r="F193" s="368">
        <f t="shared" si="1"/>
        <v>0</v>
      </c>
    </row>
    <row r="194" spans="1:22" x14ac:dyDescent="0.2">
      <c r="B194" s="188" t="s">
        <v>3551</v>
      </c>
      <c r="C194" s="367">
        <f>IFERROR(C193/COUNTIF(H87:H186,"New Construction"),0)</f>
        <v>0</v>
      </c>
      <c r="D194" s="367">
        <f>IFERROR(D193/COUNTIF(H87:H186,"Rehabilitation"),0)</f>
        <v>0</v>
      </c>
      <c r="E194" s="367">
        <f>IFERROR(E193/COUNTIF(H87:H186,"Adaptive Reuse"),0)</f>
        <v>0</v>
      </c>
      <c r="F194" s="367">
        <f t="shared" si="1"/>
        <v>0</v>
      </c>
      <c r="O194" s="191"/>
      <c r="P194" s="191"/>
      <c r="Q194" s="191"/>
      <c r="R194" s="191"/>
    </row>
    <row r="195" spans="1:22" x14ac:dyDescent="0.2">
      <c r="B195" s="590" t="s">
        <v>5064</v>
      </c>
      <c r="C195" s="368">
        <f>COUNTIFS(H87:H186,"New Construction")</f>
        <v>0</v>
      </c>
      <c r="D195" s="368">
        <f>COUNTIFS(H87:H186,"Rehabilitation")</f>
        <v>0</v>
      </c>
      <c r="E195" s="368">
        <f>COUNTIFS(H87:H186,"Adaptive Reuse")</f>
        <v>0</v>
      </c>
      <c r="F195" s="368">
        <f t="shared" si="1"/>
        <v>0</v>
      </c>
      <c r="O195" s="191"/>
      <c r="P195" s="191"/>
      <c r="Q195" s="191"/>
      <c r="R195" s="191"/>
    </row>
    <row r="196" spans="1:22" x14ac:dyDescent="0.2">
      <c r="B196" s="590" t="s">
        <v>5065</v>
      </c>
      <c r="C196" s="367">
        <f>IFERROR(C195/F195,0)</f>
        <v>0</v>
      </c>
      <c r="D196" s="367">
        <f>IFERROR(D195/F195,0)</f>
        <v>0</v>
      </c>
      <c r="E196" s="367">
        <f>IFERROR(E195/F195,0)</f>
        <v>0</v>
      </c>
      <c r="F196" s="860"/>
      <c r="O196" s="191"/>
      <c r="P196" s="191"/>
      <c r="Q196" s="191"/>
      <c r="R196" s="191"/>
    </row>
    <row r="197" spans="1:22" x14ac:dyDescent="0.2">
      <c r="O197" s="191"/>
      <c r="P197" s="191"/>
      <c r="Q197" s="191"/>
      <c r="R197" s="191"/>
    </row>
    <row r="198" spans="1:22" ht="15" x14ac:dyDescent="0.25">
      <c r="B198" s="20" t="s">
        <v>4875</v>
      </c>
      <c r="D198" s="40"/>
      <c r="S198" s="191"/>
      <c r="T198" s="191"/>
      <c r="U198" s="191"/>
      <c r="V198" s="191"/>
    </row>
    <row r="199" spans="1:22" ht="15" x14ac:dyDescent="0.25">
      <c r="B199" s="20" t="s">
        <v>4872</v>
      </c>
      <c r="C199" s="787"/>
      <c r="D199" s="40"/>
      <c r="S199" s="191"/>
      <c r="T199" s="191"/>
      <c r="U199" s="191"/>
      <c r="V199" s="191"/>
    </row>
    <row r="200" spans="1:22" ht="15" x14ac:dyDescent="0.25">
      <c r="B200" s="20" t="s">
        <v>4873</v>
      </c>
      <c r="C200" s="190"/>
      <c r="D200" s="40"/>
      <c r="S200" s="191"/>
      <c r="T200" s="191"/>
      <c r="U200" s="191"/>
      <c r="V200" s="191"/>
    </row>
    <row r="201" spans="1:22" ht="15" x14ac:dyDescent="0.25">
      <c r="B201" s="191" t="s">
        <v>4874</v>
      </c>
      <c r="C201" s="788"/>
      <c r="D201" s="40"/>
      <c r="S201" s="191"/>
      <c r="T201" s="191"/>
      <c r="U201" s="191"/>
      <c r="V201" s="191"/>
    </row>
    <row r="202" spans="1:22" ht="15" x14ac:dyDescent="0.25">
      <c r="B202" s="191"/>
      <c r="C202" s="788"/>
      <c r="D202" s="40"/>
      <c r="S202" s="191"/>
      <c r="T202" s="191"/>
      <c r="U202" s="191"/>
      <c r="V202" s="191"/>
    </row>
    <row r="203" spans="1:22" ht="15" x14ac:dyDescent="0.25">
      <c r="B203" s="191"/>
      <c r="C203" s="788"/>
      <c r="D203" s="40"/>
      <c r="S203" s="191"/>
      <c r="T203" s="191"/>
      <c r="U203" s="191"/>
      <c r="V203" s="191"/>
    </row>
    <row r="204" spans="1:22" ht="15" x14ac:dyDescent="0.25">
      <c r="B204" s="191"/>
      <c r="C204" s="788"/>
      <c r="D204" s="40"/>
      <c r="S204" s="191"/>
      <c r="T204" s="191"/>
      <c r="U204" s="191"/>
      <c r="V204" s="191"/>
    </row>
    <row r="205" spans="1:22" ht="15" x14ac:dyDescent="0.25">
      <c r="B205" s="191"/>
      <c r="C205" s="788"/>
      <c r="D205" s="40"/>
      <c r="S205" s="191"/>
      <c r="T205" s="191"/>
      <c r="U205" s="191"/>
      <c r="V205" s="191"/>
    </row>
    <row r="206" spans="1:22" ht="15" x14ac:dyDescent="0.25">
      <c r="B206" s="20"/>
      <c r="C206" s="788"/>
      <c r="D206" s="40"/>
      <c r="S206" s="191"/>
      <c r="T206" s="191"/>
      <c r="U206" s="191"/>
      <c r="V206" s="191"/>
    </row>
    <row r="207" spans="1:22" x14ac:dyDescent="0.2">
      <c r="B207" s="381"/>
      <c r="C207" s="381"/>
      <c r="D207" s="381"/>
      <c r="E207" s="381"/>
      <c r="F207" s="381"/>
      <c r="G207" s="381"/>
      <c r="H207" s="381"/>
      <c r="I207" s="381"/>
      <c r="S207" s="191"/>
      <c r="T207" s="191"/>
      <c r="U207" s="191"/>
      <c r="V207" s="191"/>
    </row>
    <row r="208" spans="1:22" ht="18" x14ac:dyDescent="0.25">
      <c r="A208" s="6" t="s">
        <v>4848</v>
      </c>
      <c r="B208" s="381"/>
      <c r="C208" s="738"/>
      <c r="D208" s="381"/>
      <c r="E208" s="381"/>
      <c r="F208" s="381"/>
      <c r="G208" s="381"/>
      <c r="H208" s="381"/>
      <c r="I208" s="381"/>
      <c r="S208" s="191"/>
      <c r="T208" s="191"/>
      <c r="U208" s="191"/>
      <c r="V208" s="191"/>
    </row>
    <row r="209" spans="2:18" x14ac:dyDescent="0.2">
      <c r="B209" s="53" t="s">
        <v>3132</v>
      </c>
      <c r="C209" s="789"/>
      <c r="D209" s="191"/>
      <c r="O209" s="191"/>
      <c r="P209" s="191"/>
      <c r="Q209" s="191"/>
      <c r="R209" s="191"/>
    </row>
    <row r="210" spans="2:18" x14ac:dyDescent="0.2">
      <c r="B210" s="53" t="s">
        <v>3131</v>
      </c>
      <c r="C210" s="172"/>
      <c r="D210" s="191"/>
      <c r="O210" s="191"/>
      <c r="P210" s="191"/>
      <c r="Q210" s="191"/>
      <c r="R210" s="191"/>
    </row>
    <row r="211" spans="2:18" x14ac:dyDescent="0.2">
      <c r="B211" s="53" t="s">
        <v>4376</v>
      </c>
      <c r="C211" s="174"/>
      <c r="D211" s="191"/>
      <c r="O211" s="191"/>
      <c r="P211" s="191"/>
      <c r="Q211" s="191"/>
      <c r="R211" s="191"/>
    </row>
    <row r="212" spans="2:18" x14ac:dyDescent="0.2">
      <c r="O212" s="191"/>
      <c r="P212" s="191"/>
      <c r="Q212" s="191"/>
      <c r="R212" s="191"/>
    </row>
    <row r="213" spans="2:18" ht="15" x14ac:dyDescent="0.25">
      <c r="B213" s="16" t="s">
        <v>3140</v>
      </c>
      <c r="C213" s="16" t="s">
        <v>4155</v>
      </c>
      <c r="D213" s="16" t="s">
        <v>4156</v>
      </c>
      <c r="E213" s="16" t="s">
        <v>4157</v>
      </c>
      <c r="F213" s="16" t="s">
        <v>4158</v>
      </c>
      <c r="G213" s="16" t="s">
        <v>4532</v>
      </c>
      <c r="H213" s="16" t="s">
        <v>4159</v>
      </c>
    </row>
    <row r="214" spans="2:18" x14ac:dyDescent="0.2">
      <c r="B214" s="188" t="s">
        <v>4239</v>
      </c>
      <c r="C214" s="17">
        <f>SUM(COUNTIFS(O87:O186,{"Single Family"},P87:P186,1))</f>
        <v>0</v>
      </c>
      <c r="D214" s="17">
        <f>SUM(COUNTIFS(O87:O186,{"Single Family"},P87:P186,2))</f>
        <v>0</v>
      </c>
      <c r="E214" s="17">
        <f>SUM(COUNTIFS(O87:O186,{"Single Family"},P87:P186,3))</f>
        <v>0</v>
      </c>
      <c r="F214" s="17">
        <f>SUM(COUNTIFS(O87:O186,{"Single Family"},P87:P186,"&gt;3"))</f>
        <v>0</v>
      </c>
      <c r="G214" s="17">
        <f>SUM(COUNTIFS(O87:O186,{"Single Family"},Q87:Q186,"Yes"))</f>
        <v>0</v>
      </c>
      <c r="H214" s="17">
        <f>SUMIF(O87:O186,"Single Family",R87:R186)</f>
        <v>0</v>
      </c>
    </row>
    <row r="215" spans="2:18" x14ac:dyDescent="0.2">
      <c r="B215" s="188" t="s">
        <v>4238</v>
      </c>
      <c r="C215" s="17">
        <f>SUM(COUNTIFS(O87:O186,{"Duplex/ Triplex/ Quad"},P87:P186,1))</f>
        <v>0</v>
      </c>
      <c r="D215" s="17">
        <f>SUM(COUNTIFS(O87:O186,{"Duplex/ Triplex/ Quad"},P87:P186,2))</f>
        <v>0</v>
      </c>
      <c r="E215" s="17">
        <f>SUM(COUNTIFS(O87:O186,{"Duplex/ Triplex/ Quad"},P87:P186,3))</f>
        <v>0</v>
      </c>
      <c r="F215" s="17">
        <f>SUM(COUNTIFS(O87:O186,{"Duplex/ Triplex/ Quad"},P87:P186,"&gt;3"))</f>
        <v>0</v>
      </c>
      <c r="G215" s="17">
        <f>SUM(COUNTIFS(O87:O186,{"Duplex/ Triplex/ Quad"},Q87:Q186,"Yes"))</f>
        <v>0</v>
      </c>
      <c r="H215" s="17">
        <f>SUMIF(O87:O186,"Duplex/ Triplex/ Quad",R87:R186)</f>
        <v>0</v>
      </c>
    </row>
    <row r="216" spans="2:18" x14ac:dyDescent="0.2">
      <c r="B216" s="188" t="s">
        <v>4154</v>
      </c>
      <c r="C216" s="368">
        <f>SUM(COUNTIFS(O87:O186,{"Townhome"},P87:P186,1))</f>
        <v>0</v>
      </c>
      <c r="D216" s="368">
        <f>SUM(COUNTIFS(O87:O186,{"Townhome"},P87:P186,2))</f>
        <v>0</v>
      </c>
      <c r="E216" s="368">
        <f>SUM(COUNTIFS(O87:O186,{"Townhome"},P87:P186,3))</f>
        <v>0</v>
      </c>
      <c r="F216" s="368">
        <f>SUM(COUNTIFS(O87:O186,{"Townhome"},P87:P186,"&gt;3"))</f>
        <v>0</v>
      </c>
      <c r="G216" s="368">
        <f>SUM(COUNTIFS(O87:O186,{"Townhome"},Q87:Q186,"Yes"))</f>
        <v>0</v>
      </c>
      <c r="H216" s="368">
        <f>SUMIF(O87:O186,"Townhome",R87:R186)</f>
        <v>0</v>
      </c>
    </row>
    <row r="217" spans="2:18" x14ac:dyDescent="0.2">
      <c r="B217" s="188" t="s">
        <v>4236</v>
      </c>
      <c r="C217" s="368">
        <f>SUM(COUNTIFS(O87:O186,{"Low Rise (1-6 stories)"},P87:P186,1))</f>
        <v>0</v>
      </c>
      <c r="D217" s="368">
        <f>SUM(COUNTIFS(O87:O186,{"Low Rise (1-6 stories)"},P87:P186,2))</f>
        <v>0</v>
      </c>
      <c r="E217" s="368">
        <f>SUM(COUNTIFS(O87:O186,{"Low Rise (1-6 stories)"},P87:P186,3))</f>
        <v>0</v>
      </c>
      <c r="F217" s="368">
        <f>SUM(COUNTIFS(O87:O186,{"Low Rise (1-6 stories)"},P87:P186,"&gt;3"))</f>
        <v>0</v>
      </c>
      <c r="G217" s="368">
        <f>SUM(COUNTIFS(O87:O186,{"Low Rise (1-6 stories)"},Q87:Q186,"Yes"))</f>
        <v>0</v>
      </c>
      <c r="H217" s="368">
        <f>SUMIF(O87:O186,"Low Rise (1-6 stories)",R87:R186)</f>
        <v>0</v>
      </c>
    </row>
    <row r="218" spans="2:18" x14ac:dyDescent="0.2">
      <c r="B218" s="188" t="s">
        <v>4237</v>
      </c>
      <c r="C218" s="368">
        <f>SUM(COUNTIFS(O87:O186,{"High Rise (7+ stories)"},P87:P186,1))</f>
        <v>0</v>
      </c>
      <c r="D218" s="368">
        <f>SUM(COUNTIFS(O87:O186,{"High Rise (7+ stories)"},P87:P186,2))</f>
        <v>0</v>
      </c>
      <c r="E218" s="368">
        <f>SUM(COUNTIFS(O87:O186,{"High Rise (7+ stories)"},P87:P186,3))</f>
        <v>0</v>
      </c>
      <c r="F218" s="368">
        <f>SUM(COUNTIFS(O87:O186,{"High Rise (7+ stories)"},P87:P186,"&gt;3"))</f>
        <v>0</v>
      </c>
      <c r="G218" s="368">
        <f>SUM(COUNTIFS(O87:O186,{"High Rise (7+ stories)"},Q87:Q186,"Yes"))</f>
        <v>0</v>
      </c>
      <c r="H218" s="368">
        <f>SUMIF(O87:O186,"High Rise (7+ stories)",R87:R186)</f>
        <v>0</v>
      </c>
    </row>
    <row r="220" spans="2:18" ht="15" x14ac:dyDescent="0.25">
      <c r="B220" s="25" t="s">
        <v>3528</v>
      </c>
      <c r="C220" s="16" t="s">
        <v>3153</v>
      </c>
      <c r="D220" s="16" t="s">
        <v>4555</v>
      </c>
      <c r="E220" s="1090" t="s">
        <v>4298</v>
      </c>
      <c r="F220" s="1091"/>
      <c r="G220" s="1092"/>
    </row>
    <row r="221" spans="2:18" ht="15" x14ac:dyDescent="0.25">
      <c r="B221" s="28" t="s">
        <v>3150</v>
      </c>
      <c r="C221" s="173"/>
      <c r="D221" s="176"/>
      <c r="E221" s="1079" t="s">
        <v>4227</v>
      </c>
      <c r="F221" s="1080"/>
      <c r="G221" s="1081"/>
    </row>
    <row r="222" spans="2:18" ht="15" x14ac:dyDescent="0.25">
      <c r="B222" s="28" t="s">
        <v>3151</v>
      </c>
      <c r="C222" s="173"/>
      <c r="D222" s="176"/>
      <c r="E222" s="1079" t="s">
        <v>4227</v>
      </c>
      <c r="F222" s="1080"/>
      <c r="G222" s="1081"/>
    </row>
    <row r="223" spans="2:18" ht="15" x14ac:dyDescent="0.25">
      <c r="B223" s="28" t="s">
        <v>3152</v>
      </c>
      <c r="C223" s="173"/>
      <c r="D223" s="176"/>
      <c r="E223" s="1079" t="s">
        <v>4227</v>
      </c>
      <c r="F223" s="1080"/>
      <c r="G223" s="1081"/>
    </row>
    <row r="224" spans="2:18" ht="15" x14ac:dyDescent="0.25">
      <c r="B224" s="28" t="s">
        <v>4226</v>
      </c>
      <c r="C224" s="173"/>
      <c r="D224" s="176"/>
      <c r="E224" s="1079" t="s">
        <v>4227</v>
      </c>
      <c r="F224" s="1080"/>
      <c r="G224" s="1081"/>
    </row>
    <row r="225" spans="1:22" x14ac:dyDescent="0.2">
      <c r="B225" s="20"/>
      <c r="C225" s="20"/>
      <c r="D225" s="20"/>
      <c r="E225" s="20"/>
      <c r="F225" s="20"/>
      <c r="G225" s="20"/>
    </row>
    <row r="226" spans="1:22" x14ac:dyDescent="0.2">
      <c r="B226" s="583" t="s">
        <v>4229</v>
      </c>
      <c r="C226" s="586">
        <f>ROUNDUP('Budget &amp; Costs'!C45*0.1,0)</f>
        <v>0</v>
      </c>
      <c r="E226" s="191"/>
    </row>
    <row r="227" spans="1:22" x14ac:dyDescent="0.2">
      <c r="B227" s="584" t="s">
        <v>4228</v>
      </c>
      <c r="C227" s="587">
        <f>U187</f>
        <v>0</v>
      </c>
      <c r="E227" s="191"/>
    </row>
    <row r="228" spans="1:22" x14ac:dyDescent="0.2">
      <c r="B228" s="584" t="s">
        <v>4567</v>
      </c>
      <c r="C228" s="17" t="str">
        <f>IF(C227&gt;=C226,"Yes","No")</f>
        <v>Yes</v>
      </c>
      <c r="E228" s="191"/>
    </row>
    <row r="229" spans="1:22" x14ac:dyDescent="0.2">
      <c r="B229" s="391"/>
      <c r="C229" s="587"/>
      <c r="E229" s="191"/>
    </row>
    <row r="230" spans="1:22" x14ac:dyDescent="0.2">
      <c r="B230" s="584" t="s">
        <v>4374</v>
      </c>
      <c r="C230" s="587">
        <f>ROUNDUP('Budget &amp; Costs'!C45*0.02,0)</f>
        <v>0</v>
      </c>
      <c r="E230" s="191"/>
    </row>
    <row r="231" spans="1:22" x14ac:dyDescent="0.2">
      <c r="B231" s="584" t="s">
        <v>4375</v>
      </c>
      <c r="C231" s="587">
        <f>V187</f>
        <v>0</v>
      </c>
      <c r="E231" s="191"/>
    </row>
    <row r="232" spans="1:22" x14ac:dyDescent="0.2">
      <c r="B232" s="585" t="s">
        <v>4567</v>
      </c>
      <c r="C232" s="17" t="str">
        <f>IF(C231&gt;=C230,"Yes","No")</f>
        <v>Yes</v>
      </c>
      <c r="E232" s="191"/>
    </row>
    <row r="233" spans="1:22" x14ac:dyDescent="0.2">
      <c r="E233" s="191"/>
    </row>
    <row r="234" spans="1:22" x14ac:dyDescent="0.2">
      <c r="B234" s="53" t="s">
        <v>3134</v>
      </c>
      <c r="C234" s="367">
        <f>IFERROR(S187/R187,0)</f>
        <v>0</v>
      </c>
    </row>
    <row r="235" spans="1:22" ht="57" x14ac:dyDescent="0.2">
      <c r="B235" s="14" t="s">
        <v>4090</v>
      </c>
      <c r="C235" s="175"/>
      <c r="D235" s="15" t="str">
        <f>IF(C235="Yes","Please include a Relocation Plan and URA Form with the final application. This plan must include a budget.","")</f>
        <v/>
      </c>
    </row>
    <row r="236" spans="1:22" ht="15.75" customHeight="1" x14ac:dyDescent="0.2">
      <c r="B236" s="369"/>
      <c r="C236" s="369"/>
      <c r="D236" s="369"/>
      <c r="E236" s="369"/>
      <c r="F236" s="369"/>
      <c r="G236" s="369"/>
      <c r="H236" s="369"/>
      <c r="I236" s="369"/>
      <c r="S236" s="191"/>
      <c r="T236" s="191"/>
      <c r="U236" s="191"/>
      <c r="V236" s="191"/>
    </row>
    <row r="237" spans="1:22" ht="18" x14ac:dyDescent="0.25">
      <c r="A237" s="6" t="s">
        <v>4849</v>
      </c>
    </row>
    <row r="238" spans="1:22" ht="43.5" customHeight="1" x14ac:dyDescent="0.2">
      <c r="A238" s="1083" t="s">
        <v>4378</v>
      </c>
      <c r="B238" s="1083"/>
      <c r="C238" s="1083"/>
      <c r="D238" s="1083"/>
      <c r="E238" s="1083"/>
      <c r="F238" s="1083"/>
      <c r="G238" s="1083"/>
      <c r="H238" s="1083"/>
      <c r="I238" s="1083"/>
      <c r="J238" s="26"/>
    </row>
    <row r="239" spans="1:22" x14ac:dyDescent="0.2">
      <c r="A239" s="26"/>
      <c r="B239" s="26"/>
      <c r="C239" s="26"/>
      <c r="D239" s="26"/>
      <c r="E239" s="26"/>
      <c r="F239" s="26"/>
      <c r="G239" s="26"/>
      <c r="H239" s="26"/>
      <c r="I239" s="26"/>
      <c r="J239" s="26"/>
    </row>
    <row r="240" spans="1:22" x14ac:dyDescent="0.2">
      <c r="B240" s="5" t="s">
        <v>3155</v>
      </c>
      <c r="C240" s="589">
        <v>0</v>
      </c>
    </row>
    <row r="241" spans="2:4" x14ac:dyDescent="0.2">
      <c r="B241" s="5" t="s">
        <v>3156</v>
      </c>
      <c r="C241" s="589">
        <v>0</v>
      </c>
    </row>
    <row r="242" spans="2:4" x14ac:dyDescent="0.2">
      <c r="B242" s="5" t="s">
        <v>4036</v>
      </c>
      <c r="C242" s="589">
        <v>0</v>
      </c>
    </row>
    <row r="243" spans="2:4" x14ac:dyDescent="0.2">
      <c r="B243" s="5" t="s">
        <v>3154</v>
      </c>
      <c r="C243" s="589">
        <v>0</v>
      </c>
      <c r="D243" s="748" t="s">
        <v>4570</v>
      </c>
    </row>
    <row r="244" spans="2:4" x14ac:dyDescent="0.2">
      <c r="B244" s="5" t="s">
        <v>3157</v>
      </c>
      <c r="C244" s="589">
        <v>0</v>
      </c>
      <c r="D244" s="596" t="s">
        <v>4571</v>
      </c>
    </row>
    <row r="245" spans="2:4" x14ac:dyDescent="0.2">
      <c r="B245" s="5" t="s">
        <v>3158</v>
      </c>
      <c r="C245" s="589">
        <v>0</v>
      </c>
      <c r="D245" s="748" t="s">
        <v>5108</v>
      </c>
    </row>
    <row r="246" spans="2:4" x14ac:dyDescent="0.2">
      <c r="B246" s="5" t="s">
        <v>3159</v>
      </c>
      <c r="C246" s="589">
        <v>0</v>
      </c>
    </row>
    <row r="247" spans="2:4" x14ac:dyDescent="0.2">
      <c r="B247" s="5" t="s">
        <v>3160</v>
      </c>
      <c r="C247" s="589">
        <v>0</v>
      </c>
    </row>
    <row r="248" spans="2:4" x14ac:dyDescent="0.2">
      <c r="B248" s="5" t="s">
        <v>4556</v>
      </c>
      <c r="C248" s="589">
        <v>0</v>
      </c>
    </row>
    <row r="249" spans="2:4" x14ac:dyDescent="0.2">
      <c r="B249" s="5" t="s">
        <v>3161</v>
      </c>
      <c r="C249" s="589">
        <v>0</v>
      </c>
    </row>
    <row r="250" spans="2:4" x14ac:dyDescent="0.2">
      <c r="B250" s="5" t="s">
        <v>3162</v>
      </c>
      <c r="C250" s="589">
        <v>0</v>
      </c>
    </row>
    <row r="251" spans="2:4" x14ac:dyDescent="0.2">
      <c r="B251" s="5" t="s">
        <v>3163</v>
      </c>
      <c r="C251" s="589">
        <v>0</v>
      </c>
    </row>
    <row r="252" spans="2:4" x14ac:dyDescent="0.2">
      <c r="B252" s="5" t="s">
        <v>3164</v>
      </c>
      <c r="C252" s="589">
        <v>0</v>
      </c>
    </row>
    <row r="253" spans="2:4" x14ac:dyDescent="0.2">
      <c r="B253" s="5" t="s">
        <v>3165</v>
      </c>
      <c r="C253" s="589">
        <v>0</v>
      </c>
    </row>
    <row r="254" spans="2:4" x14ac:dyDescent="0.2">
      <c r="B254" s="5" t="s">
        <v>3166</v>
      </c>
      <c r="C254" s="589">
        <v>0</v>
      </c>
    </row>
    <row r="255" spans="2:4" x14ac:dyDescent="0.2">
      <c r="B255" s="5" t="s">
        <v>4558</v>
      </c>
      <c r="C255" s="588">
        <f>SUM(C241:C243)</f>
        <v>0</v>
      </c>
      <c r="D255" s="9" t="s">
        <v>4561</v>
      </c>
    </row>
    <row r="256" spans="2:4" x14ac:dyDescent="0.2">
      <c r="B256" s="5" t="s">
        <v>3168</v>
      </c>
      <c r="C256" s="588">
        <f>C244+C247+C249+C251</f>
        <v>0</v>
      </c>
      <c r="D256" s="9" t="s">
        <v>4560</v>
      </c>
    </row>
    <row r="257" spans="1:4" x14ac:dyDescent="0.2">
      <c r="B257" s="5" t="s">
        <v>3169</v>
      </c>
      <c r="C257" s="51" t="str">
        <f>IFERROR((C246+C247)/C240,"Input needed")</f>
        <v>Input needed</v>
      </c>
      <c r="D257" s="9" t="s">
        <v>4559</v>
      </c>
    </row>
    <row r="258" spans="1:4" x14ac:dyDescent="0.2">
      <c r="B258" s="5" t="s">
        <v>3170</v>
      </c>
      <c r="C258" s="588">
        <f>C240-C255</f>
        <v>0</v>
      </c>
      <c r="D258" s="9" t="s">
        <v>3171</v>
      </c>
    </row>
    <row r="259" spans="1:4" x14ac:dyDescent="0.2">
      <c r="B259" s="5" t="s">
        <v>4557</v>
      </c>
      <c r="C259" s="588" t="str">
        <f>IFERROR(C258/'Budget &amp; Costs'!D50,"[Complete Budget Tab]")</f>
        <v>[Complete Budget Tab]</v>
      </c>
      <c r="D259" s="9" t="s">
        <v>3172</v>
      </c>
    </row>
    <row r="260" spans="1:4" x14ac:dyDescent="0.2">
      <c r="C260" s="9"/>
      <c r="D260" s="9"/>
    </row>
    <row r="261" spans="1:4" ht="15" x14ac:dyDescent="0.25">
      <c r="C261" s="863"/>
      <c r="D261" s="9"/>
    </row>
    <row r="262" spans="1:4" x14ac:dyDescent="0.2">
      <c r="C262" s="9"/>
      <c r="D262" s="9"/>
    </row>
    <row r="263" spans="1:4" ht="18" x14ac:dyDescent="0.25">
      <c r="A263" s="98" t="s">
        <v>3135</v>
      </c>
    </row>
    <row r="264" spans="1:4" ht="15" x14ac:dyDescent="0.25">
      <c r="B264" s="11"/>
      <c r="C264" s="16" t="s">
        <v>4850</v>
      </c>
      <c r="D264" s="16" t="s">
        <v>4851</v>
      </c>
    </row>
    <row r="265" spans="1:4" x14ac:dyDescent="0.2">
      <c r="B265" s="10" t="s">
        <v>4075</v>
      </c>
      <c r="C265" s="170"/>
      <c r="D265" s="170"/>
    </row>
    <row r="266" spans="1:4" x14ac:dyDescent="0.2">
      <c r="B266" s="10" t="s">
        <v>4074</v>
      </c>
      <c r="C266" s="170"/>
      <c r="D266" s="170"/>
    </row>
    <row r="267" spans="1:4" x14ac:dyDescent="0.2">
      <c r="B267" s="10" t="s">
        <v>4076</v>
      </c>
      <c r="C267" s="170"/>
      <c r="D267" s="170"/>
    </row>
    <row r="268" spans="1:4" x14ac:dyDescent="0.2">
      <c r="B268" s="10" t="s">
        <v>4184</v>
      </c>
      <c r="C268" s="170"/>
      <c r="D268" s="170"/>
    </row>
    <row r="269" spans="1:4" x14ac:dyDescent="0.2">
      <c r="B269" s="10" t="s">
        <v>4185</v>
      </c>
      <c r="C269" s="170"/>
      <c r="D269" s="170"/>
    </row>
    <row r="270" spans="1:4" x14ac:dyDescent="0.2">
      <c r="B270" s="10" t="s">
        <v>4186</v>
      </c>
      <c r="C270" s="170"/>
      <c r="D270" s="170"/>
    </row>
    <row r="271" spans="1:4" x14ac:dyDescent="0.2">
      <c r="B271" s="10" t="s">
        <v>4523</v>
      </c>
      <c r="C271" s="170"/>
      <c r="D271" s="170"/>
    </row>
    <row r="272" spans="1:4" x14ac:dyDescent="0.2">
      <c r="B272" s="10" t="s">
        <v>4524</v>
      </c>
      <c r="C272" s="170"/>
      <c r="D272" s="170"/>
    </row>
    <row r="273" spans="2:4" x14ac:dyDescent="0.2">
      <c r="B273" s="10" t="s">
        <v>4525</v>
      </c>
      <c r="C273" s="170"/>
      <c r="D273" s="170"/>
    </row>
    <row r="274" spans="2:4" x14ac:dyDescent="0.2">
      <c r="B274" s="10" t="s">
        <v>4187</v>
      </c>
      <c r="C274" s="170"/>
      <c r="D274" s="170"/>
    </row>
    <row r="275" spans="2:4" x14ac:dyDescent="0.2">
      <c r="B275" s="10" t="s">
        <v>4377</v>
      </c>
      <c r="C275" s="170"/>
      <c r="D275" s="170"/>
    </row>
    <row r="276" spans="2:4" x14ac:dyDescent="0.2">
      <c r="B276" s="10" t="s">
        <v>4188</v>
      </c>
      <c r="C276" s="170"/>
      <c r="D276" s="170"/>
    </row>
    <row r="277" spans="2:4" x14ac:dyDescent="0.2">
      <c r="B277" s="10" t="s">
        <v>4077</v>
      </c>
      <c r="C277" s="170"/>
      <c r="D277" s="170"/>
    </row>
    <row r="278" spans="2:4" x14ac:dyDescent="0.2">
      <c r="B278" s="10" t="s">
        <v>4078</v>
      </c>
      <c r="C278" s="170"/>
      <c r="D278" s="170"/>
    </row>
    <row r="280" spans="2:4" ht="15" x14ac:dyDescent="0.25">
      <c r="B280" s="11"/>
      <c r="C280" s="16" t="s">
        <v>3136</v>
      </c>
      <c r="D280" s="16" t="s">
        <v>3137</v>
      </c>
    </row>
    <row r="281" spans="2:4" x14ac:dyDescent="0.2">
      <c r="B281" s="10" t="s">
        <v>4411</v>
      </c>
      <c r="C281" s="170"/>
      <c r="D281" s="170"/>
    </row>
    <row r="283" spans="2:4" x14ac:dyDescent="0.2">
      <c r="C283" s="191"/>
    </row>
  </sheetData>
  <sheetProtection algorithmName="SHA-512" hashValue="Y9fOLQKS2dpUM2iFrDF/NA3R55HtSJuocC3Abk0z0xEu5UUalJPSeW4/kszh3fnoOVG5CeF15fjpb5a4+EmynA==" saltValue="L5MPwXYmxfMLnqsWFBkJrA==" spinCount="100000" sheet="1" objects="1" scenarios="1"/>
  <mergeCells count="16">
    <mergeCell ref="C22:D22"/>
    <mergeCell ref="C23:E23"/>
    <mergeCell ref="F23:H23"/>
    <mergeCell ref="E220:G220"/>
    <mergeCell ref="E221:G221"/>
    <mergeCell ref="E77:G77"/>
    <mergeCell ref="E222:G222"/>
    <mergeCell ref="E58:G58"/>
    <mergeCell ref="A238:I238"/>
    <mergeCell ref="E75:G75"/>
    <mergeCell ref="E73:G73"/>
    <mergeCell ref="E74:G74"/>
    <mergeCell ref="A83:J83"/>
    <mergeCell ref="A85:J85"/>
    <mergeCell ref="E224:G224"/>
    <mergeCell ref="E223:G223"/>
  </mergeCells>
  <conditionalFormatting sqref="E37:E41">
    <cfRule type="expression" dxfId="167" priority="29">
      <formula>$C$41="Yes"</formula>
    </cfRule>
  </conditionalFormatting>
  <conditionalFormatting sqref="G37:G44">
    <cfRule type="expression" dxfId="166" priority="28">
      <formula>$C$39="Yes"</formula>
    </cfRule>
  </conditionalFormatting>
  <conditionalFormatting sqref="E42:E44">
    <cfRule type="expression" dxfId="165" priority="27">
      <formula>$C$41="Yes"</formula>
    </cfRule>
  </conditionalFormatting>
  <conditionalFormatting sqref="C228">
    <cfRule type="cellIs" dxfId="164" priority="13" operator="equal">
      <formula>"Yes"</formula>
    </cfRule>
    <cfRule type="cellIs" dxfId="163" priority="16" operator="equal">
      <formula>"No"</formula>
    </cfRule>
  </conditionalFormatting>
  <conditionalFormatting sqref="C232">
    <cfRule type="cellIs" dxfId="162" priority="14" operator="equal">
      <formula>"Yes"</formula>
    </cfRule>
    <cfRule type="cellIs" dxfId="161" priority="15" operator="equal">
      <formula>"No"</formula>
    </cfRule>
  </conditionalFormatting>
  <conditionalFormatting sqref="E20">
    <cfRule type="expression" priority="10">
      <formula>$C$20="9% Competitive"</formula>
    </cfRule>
  </conditionalFormatting>
  <conditionalFormatting sqref="G20">
    <cfRule type="expression" dxfId="160" priority="8">
      <formula>$C$20="Bond Gap Financing"</formula>
    </cfRule>
    <cfRule type="expression" dxfId="159" priority="9">
      <formula>$C$20="9% Competitive"</formula>
    </cfRule>
  </conditionalFormatting>
  <conditionalFormatting sqref="C22:D22">
    <cfRule type="expression" dxfId="158" priority="3">
      <formula>$C$20="Bond Gap Financing"</formula>
    </cfRule>
    <cfRule type="expression" dxfId="157" priority="7">
      <formula>$C$20="9% Competitive"</formula>
    </cfRule>
  </conditionalFormatting>
  <conditionalFormatting sqref="C23:E23">
    <cfRule type="expression" dxfId="156" priority="2">
      <formula>$C$20="Bond Gap Financing"</formula>
    </cfRule>
    <cfRule type="expression" dxfId="155" priority="6">
      <formula>$C$20="9% Competitive"</formula>
    </cfRule>
  </conditionalFormatting>
  <conditionalFormatting sqref="G35">
    <cfRule type="expression" dxfId="154" priority="5">
      <formula>$C$35="Yes"</formula>
    </cfRule>
  </conditionalFormatting>
  <conditionalFormatting sqref="G36">
    <cfRule type="expression" dxfId="153" priority="4">
      <formula>$C$36="Yes"</formula>
    </cfRule>
  </conditionalFormatting>
  <conditionalFormatting sqref="C261">
    <cfRule type="expression" dxfId="152" priority="1">
      <formula>IFERROR(IF(C257&gt;0.2,"ERROR Common Area Exceeds 20%",""),"")</formula>
    </cfRule>
  </conditionalFormatting>
  <dataValidations count="17">
    <dataValidation type="list" allowBlank="1" showInputMessage="1" showErrorMessage="1" sqref="C16 Q87:Q186 C210 C235 C39 C28:C29 G16 N87:N186 G32 C35:C37 C200 G27:G29 C63:C66" xr:uid="{00000000-0002-0000-0300-000000000000}">
      <formula1>"Yes,No"</formula1>
    </dataValidation>
    <dataValidation type="list" allowBlank="1" showInputMessage="1" showErrorMessage="1" sqref="E87:E186" xr:uid="{00000000-0002-0000-0300-000001000000}">
      <formula1>"Recorded Deed,Executed Option,Purchase Contract, Long Term Lease,Proposed to Acquire"</formula1>
    </dataValidation>
    <dataValidation type="list" allowBlank="1" showInputMessage="1" showErrorMessage="1" sqref="C31 H87:H186" xr:uid="{00000000-0002-0000-0300-000002000000}">
      <formula1>"New Construction,Rehabilitation,Adaptive Reuse"</formula1>
    </dataValidation>
    <dataValidation type="list" allowBlank="1" showInputMessage="1" showErrorMessage="1" sqref="C27" xr:uid="{00000000-0002-0000-0300-000003000000}">
      <formula1>"Families,Seniors,Service Enriched"</formula1>
    </dataValidation>
    <dataValidation type="list" allowBlank="1" showInputMessage="1" showErrorMessage="1" sqref="C30" xr:uid="{00000000-0002-0000-0300-000004000000}">
      <formula1>"Single Family, Multifamily"</formula1>
    </dataValidation>
    <dataValidation type="list" allowBlank="1" showInputMessage="1" showErrorMessage="1" sqref="G30" xr:uid="{00000000-0002-0000-0300-000005000000}">
      <formula1>"None,Davis Bacon,Ohio Prevailing Wage,Other"</formula1>
    </dataValidation>
    <dataValidation type="list" allowBlank="1" showInputMessage="1" showErrorMessage="1" sqref="E63" xr:uid="{00000000-0002-0000-0300-000006000000}">
      <formula1>"55 and Older,62 and Older,N/A"</formula1>
    </dataValidation>
    <dataValidation type="list" allowBlank="1" showInputMessage="1" showErrorMessage="1" sqref="C51 C53:C58 G51 C73:C75 C77:C78 G63:G66" xr:uid="{00000000-0002-0000-0300-000007000000}">
      <formula1>"Yes,No,N/A"</formula1>
    </dataValidation>
    <dataValidation type="whole" allowBlank="1" showInputMessage="1" showErrorMessage="1" sqref="G11:G12 G87:G186" xr:uid="{00000000-0002-0000-0300-000008000000}">
      <formula1>10000000000</formula1>
      <formula2>99999999999</formula2>
    </dataValidation>
    <dataValidation type="whole" allowBlank="1" showInputMessage="1" showErrorMessage="1" sqref="C87:C186" xr:uid="{00000000-0002-0000-0300-000009000000}">
      <formula1>10000</formula1>
      <formula2>99999</formula2>
    </dataValidation>
    <dataValidation type="list" allowBlank="1" showInputMessage="1" showErrorMessage="1" sqref="O87:O186" xr:uid="{00000000-0002-0000-0300-00000A000000}">
      <formula1>"Single Family,Duplex/ Triplex/ Quad,Townhome,Low Rise (1-6 stories),High Rise (7+ stories)"</formula1>
    </dataValidation>
    <dataValidation type="list" allowBlank="1" showInputMessage="1" showErrorMessage="1" sqref="C20" xr:uid="{00000000-0002-0000-0300-00000B000000}">
      <formula1>"9% Competitive, 4% HTC only, Bonds only, Bond Gap Financing"</formula1>
    </dataValidation>
    <dataValidation type="list" allowBlank="1" showInputMessage="1" showErrorMessage="1" sqref="G20" xr:uid="{00000000-0002-0000-0300-00000C000000}">
      <formula1>"Proposal,Final"</formula1>
    </dataValidation>
    <dataValidation type="list" allowBlank="1" showInputMessage="1" showErrorMessage="1" sqref="C26" xr:uid="{00000000-0002-0000-0300-00000D000000}">
      <formula1>"New Affordability,Preserved Affordability"</formula1>
    </dataValidation>
    <dataValidation type="list" allowBlank="1" showInputMessage="1" showErrorMessage="1" sqref="C50" xr:uid="{00000000-0002-0000-0300-00000E000000}">
      <formula1>"Existing,Anticipated,N/A"</formula1>
    </dataValidation>
    <dataValidation type="list" allowBlank="1" showInputMessage="1" showErrorMessage="1" sqref="C14" xr:uid="{00000000-0002-0000-0300-00000F000000}">
      <formula1>"Central City, Metro/Suburban, Rural"</formula1>
    </dataValidation>
    <dataValidation type="list" allowBlank="1" showInputMessage="1" showErrorMessage="1" sqref="C40" xr:uid="{00000000-0002-0000-0300-000010000000}">
      <formula1>"Yes, No"</formula1>
    </dataValidation>
  </dataValidations>
  <hyperlinks>
    <hyperlink ref="E7" r:id="rId1" xr:uid="{00000000-0004-0000-0300-000000000000}"/>
    <hyperlink ref="E6" r:id="rId2" xr:uid="{00000000-0004-0000-0300-000001000000}"/>
    <hyperlink ref="E11" r:id="rId3" display="11-Digit Primary Census Tract, No Spaces" xr:uid="{00000000-0004-0000-0300-000002000000}"/>
    <hyperlink ref="B63" r:id="rId4" xr:uid="{00000000-0004-0000-0300-000003000000}"/>
    <hyperlink ref="B10" r:id="rId5" xr:uid="{00000000-0004-0000-0300-000004000000}"/>
    <hyperlink ref="B11" r:id="rId6" xr:uid="{00000000-0004-0000-0300-000005000000}"/>
    <hyperlink ref="E8" r:id="rId7" xr:uid="{00000000-0004-0000-0300-000006000000}"/>
    <hyperlink ref="E9" r:id="rId8" xr:uid="{00000000-0004-0000-0300-000007000000}"/>
    <hyperlink ref="E10" r:id="rId9" xr:uid="{00000000-0004-0000-0300-000008000000}"/>
    <hyperlink ref="B14" r:id="rId10" xr:uid="{00000000-0004-0000-0300-000009000000}"/>
    <hyperlink ref="E12" r:id="rId11" xr:uid="{00000000-0004-0000-0300-00000A000000}"/>
  </hyperlinks>
  <pageMargins left="0.7" right="0.7" top="0.75" bottom="0.75" header="0.3" footer="0.3"/>
  <pageSetup scale="28" orientation="portrait" r:id="rId12"/>
  <ignoredErrors>
    <ignoredError sqref="I87:I93" evalError="1"/>
  </ignoredErrors>
  <drawing r:id="rId13"/>
  <legacyDrawing r:id="rId1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11000000}">
          <x14:formula1>
            <xm:f>Data!$AK$4:$AK$91</xm:f>
          </x14:formula1>
          <xm:sqref>C12</xm:sqref>
        </x14:dataValidation>
        <x14:dataValidation type="list" allowBlank="1" showInputMessage="1" showErrorMessage="1" xr:uid="{00000000-0002-0000-0300-000012000000}">
          <x14:formula1>
            <xm:f>Data!$J$17:$J$25</xm:f>
          </x14:formula1>
          <xm:sqref>C23:E23</xm:sqref>
        </x14:dataValidation>
        <x14:dataValidation type="list" allowBlank="1" showInputMessage="1" showErrorMessage="1" xr:uid="{00000000-0002-0000-0300-000013000000}">
          <x14:formula1>
            <xm:f>Data!$J$5:$J$9</xm:f>
          </x14:formula1>
          <xm:sqref>C22:D22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560"/>
  <sheetViews>
    <sheetView zoomScale="80" zoomScaleNormal="80" workbookViewId="0">
      <selection activeCell="A6" sqref="A6:XFD6"/>
    </sheetView>
  </sheetViews>
  <sheetFormatPr defaultColWidth="9" defaultRowHeight="14.25" x14ac:dyDescent="0.2"/>
  <cols>
    <col min="1" max="1" width="2.375" style="5" customWidth="1"/>
    <col min="2" max="2" width="8.5" style="5" customWidth="1"/>
    <col min="3" max="3" width="17.25" style="5" customWidth="1"/>
    <col min="4" max="4" width="16.25" style="5" customWidth="1"/>
    <col min="5" max="5" width="10.75" style="5" customWidth="1"/>
    <col min="6" max="6" width="15.5" style="5" customWidth="1"/>
    <col min="7" max="7" width="17" style="5" bestFit="1" customWidth="1"/>
    <col min="8" max="8" width="16.375" style="5" customWidth="1"/>
    <col min="9" max="9" width="16.25" style="5" customWidth="1"/>
    <col min="10" max="10" width="15.5" style="5" customWidth="1"/>
    <col min="11" max="11" width="16.5" style="5" customWidth="1"/>
    <col min="12" max="12" width="17.625" style="5" customWidth="1"/>
    <col min="13" max="13" width="15.25" style="5" customWidth="1"/>
    <col min="14" max="16" width="13.625" style="5" customWidth="1"/>
    <col min="17" max="17" width="15.375" style="5" customWidth="1"/>
    <col min="18" max="18" width="13.625" style="5" customWidth="1"/>
    <col min="19" max="19" width="17.25" style="191" customWidth="1"/>
    <col min="20" max="22" width="13.625" style="191" customWidth="1"/>
    <col min="23" max="23" width="14" style="191" bestFit="1" customWidth="1"/>
    <col min="24" max="24" width="18.375" style="191" bestFit="1" customWidth="1"/>
    <col min="25" max="25" width="12.125" style="191" customWidth="1"/>
    <col min="26" max="26" width="27.125" style="191" customWidth="1"/>
    <col min="27" max="16384" width="9" style="191"/>
  </cols>
  <sheetData>
    <row r="1" spans="1:18" ht="54.95" customHeight="1" x14ac:dyDescent="0.2"/>
    <row r="2" spans="1:18" s="192" customFormat="1" ht="22.5" x14ac:dyDescent="0.3">
      <c r="A2" s="572" t="s">
        <v>4083</v>
      </c>
      <c r="B2" s="1"/>
      <c r="C2" s="1"/>
      <c r="D2" s="1"/>
      <c r="E2" s="1"/>
      <c r="F2" s="1"/>
      <c r="G2" s="1"/>
      <c r="H2" s="1"/>
      <c r="I2" s="1"/>
      <c r="J2" s="1"/>
      <c r="K2" s="1"/>
      <c r="L2" s="1"/>
      <c r="M2" s="1"/>
      <c r="N2" s="1"/>
      <c r="O2" s="1"/>
      <c r="P2" s="1"/>
      <c r="Q2" s="1"/>
      <c r="R2" s="1"/>
    </row>
    <row r="3" spans="1:18" s="193" customFormat="1" ht="15.75" x14ac:dyDescent="0.25">
      <c r="A3" s="573" t="s">
        <v>4297</v>
      </c>
      <c r="B3" s="2"/>
      <c r="C3" s="38">
        <f>'Project Details'!C7</f>
        <v>0</v>
      </c>
      <c r="D3" s="38"/>
      <c r="E3" s="2"/>
      <c r="F3" s="2"/>
      <c r="G3" s="2"/>
      <c r="H3" s="2"/>
      <c r="I3" s="2"/>
      <c r="J3" s="2"/>
      <c r="K3" s="2"/>
      <c r="L3" s="2"/>
      <c r="M3" s="2"/>
      <c r="N3" s="2"/>
      <c r="O3" s="2"/>
      <c r="P3" s="2"/>
      <c r="Q3" s="2"/>
      <c r="R3" s="2"/>
    </row>
    <row r="5" spans="1:18" s="197" customFormat="1" ht="24.95" customHeight="1" x14ac:dyDescent="0.2">
      <c r="A5" s="739" t="s">
        <v>3215</v>
      </c>
      <c r="B5" s="187"/>
      <c r="C5" s="187"/>
      <c r="D5" s="187"/>
      <c r="E5" s="187"/>
      <c r="F5" s="187"/>
      <c r="G5" s="187"/>
      <c r="H5" s="187"/>
      <c r="I5" s="187"/>
      <c r="J5" s="187"/>
      <c r="K5" s="187"/>
      <c r="L5" s="187"/>
      <c r="M5" s="187"/>
      <c r="N5" s="187"/>
      <c r="O5" s="187"/>
      <c r="P5" s="187"/>
      <c r="Q5" s="187"/>
      <c r="R5" s="187"/>
    </row>
    <row r="6" spans="1:18" ht="87" customHeight="1" x14ac:dyDescent="0.2">
      <c r="A6" s="1125" t="s">
        <v>5317</v>
      </c>
      <c r="B6" s="1125"/>
      <c r="C6" s="1125"/>
      <c r="D6" s="1125"/>
      <c r="E6" s="1125"/>
      <c r="F6" s="1125"/>
      <c r="G6" s="1125"/>
      <c r="H6" s="1125"/>
      <c r="I6" s="1125"/>
      <c r="J6" s="1125"/>
      <c r="K6" s="1125"/>
      <c r="L6" s="1125"/>
      <c r="M6" s="1125"/>
      <c r="N6" s="1125"/>
      <c r="O6" s="1125"/>
      <c r="P6" s="1125"/>
    </row>
    <row r="7" spans="1:18" x14ac:dyDescent="0.2">
      <c r="B7" s="26"/>
      <c r="C7" s="26"/>
      <c r="D7" s="26"/>
      <c r="E7" s="26"/>
      <c r="F7" s="26"/>
      <c r="G7" s="26"/>
      <c r="H7" s="26"/>
      <c r="I7" s="26"/>
      <c r="J7" s="26"/>
      <c r="K7" s="26"/>
    </row>
    <row r="8" spans="1:18" s="212" customFormat="1" ht="45" x14ac:dyDescent="0.2">
      <c r="A8" s="22"/>
      <c r="B8" s="22"/>
      <c r="C8" s="57" t="s">
        <v>3127</v>
      </c>
      <c r="D8" s="57" t="s">
        <v>3173</v>
      </c>
      <c r="E8" s="57" t="s">
        <v>3174</v>
      </c>
      <c r="F8" s="57" t="s">
        <v>4537</v>
      </c>
      <c r="G8" s="57" t="s">
        <v>4379</v>
      </c>
      <c r="H8" s="57" t="s">
        <v>4380</v>
      </c>
      <c r="I8" s="57" t="s">
        <v>3176</v>
      </c>
      <c r="J8" s="57" t="s">
        <v>3177</v>
      </c>
      <c r="K8" s="57" t="s">
        <v>3178</v>
      </c>
      <c r="L8" s="57" t="s">
        <v>3179</v>
      </c>
      <c r="M8" s="57" t="s">
        <v>3209</v>
      </c>
      <c r="N8" s="57" t="s">
        <v>3210</v>
      </c>
      <c r="O8" s="57" t="s">
        <v>3211</v>
      </c>
      <c r="P8" s="57" t="s">
        <v>3212</v>
      </c>
    </row>
    <row r="9" spans="1:18" x14ac:dyDescent="0.2">
      <c r="C9" s="1014"/>
      <c r="D9" s="392"/>
      <c r="E9" s="392"/>
      <c r="F9" s="392"/>
      <c r="G9" s="393"/>
      <c r="H9" s="393"/>
      <c r="I9" s="445"/>
      <c r="J9" s="445"/>
      <c r="K9" s="444">
        <f t="shared" ref="K9:K43" si="0">J9+I9</f>
        <v>0</v>
      </c>
      <c r="L9" s="444">
        <f>IFERROR(VLOOKUP(D9,Data!AB20:$AC$25,2,FALSE),0)</f>
        <v>0</v>
      </c>
      <c r="M9" s="445">
        <v>0</v>
      </c>
      <c r="N9" s="172"/>
      <c r="O9" s="444">
        <f t="shared" ref="O9:O44" si="1">IF(C9="",0,(I9+M9))</f>
        <v>0</v>
      </c>
      <c r="P9" s="444">
        <f t="shared" ref="P9:P44" si="2">O9*C9</f>
        <v>0</v>
      </c>
      <c r="Q9" s="212"/>
      <c r="R9" s="212"/>
    </row>
    <row r="10" spans="1:18" x14ac:dyDescent="0.2">
      <c r="C10" s="392"/>
      <c r="D10" s="392"/>
      <c r="E10" s="392"/>
      <c r="F10" s="392"/>
      <c r="G10" s="393"/>
      <c r="H10" s="393"/>
      <c r="I10" s="445"/>
      <c r="J10" s="445"/>
      <c r="K10" s="444">
        <f t="shared" si="0"/>
        <v>0</v>
      </c>
      <c r="L10" s="444">
        <f>IFERROR(VLOOKUP(D10,Data!$AD$20:$AE$25,2,FALSE),0)</f>
        <v>0</v>
      </c>
      <c r="M10" s="445">
        <v>0</v>
      </c>
      <c r="N10" s="172"/>
      <c r="O10" s="444">
        <f t="shared" si="1"/>
        <v>0</v>
      </c>
      <c r="P10" s="444">
        <f t="shared" si="2"/>
        <v>0</v>
      </c>
      <c r="Q10" s="212"/>
      <c r="R10" s="212"/>
    </row>
    <row r="11" spans="1:18" x14ac:dyDescent="0.2">
      <c r="C11" s="392"/>
      <c r="D11" s="392"/>
      <c r="E11" s="392"/>
      <c r="F11" s="392"/>
      <c r="G11" s="393"/>
      <c r="H11" s="393"/>
      <c r="I11" s="445"/>
      <c r="J11" s="445"/>
      <c r="K11" s="444">
        <f t="shared" si="0"/>
        <v>0</v>
      </c>
      <c r="L11" s="444">
        <f>IFERROR(VLOOKUP(D11,Data!AF20:AG225,2,FALSE),0)</f>
        <v>0</v>
      </c>
      <c r="M11" s="445">
        <v>0</v>
      </c>
      <c r="N11" s="172"/>
      <c r="O11" s="444">
        <f t="shared" si="1"/>
        <v>0</v>
      </c>
      <c r="P11" s="444">
        <f t="shared" si="2"/>
        <v>0</v>
      </c>
      <c r="Q11" s="212"/>
      <c r="R11" s="212"/>
    </row>
    <row r="12" spans="1:18" x14ac:dyDescent="0.2">
      <c r="C12" s="392"/>
      <c r="D12" s="392"/>
      <c r="E12" s="392"/>
      <c r="F12" s="392"/>
      <c r="G12" s="393"/>
      <c r="H12" s="393"/>
      <c r="I12" s="445"/>
      <c r="J12" s="445"/>
      <c r="K12" s="444">
        <f t="shared" si="0"/>
        <v>0</v>
      </c>
      <c r="L12" s="444">
        <f>IFERROR(VLOOKUP(D12,Data!$AH$20:$AI$25,2,FALSE),0)</f>
        <v>0</v>
      </c>
      <c r="M12" s="445">
        <v>0</v>
      </c>
      <c r="N12" s="172"/>
      <c r="O12" s="444">
        <f t="shared" si="1"/>
        <v>0</v>
      </c>
      <c r="P12" s="444">
        <f t="shared" si="2"/>
        <v>0</v>
      </c>
      <c r="Q12" s="212"/>
      <c r="R12" s="212"/>
    </row>
    <row r="13" spans="1:18" x14ac:dyDescent="0.2">
      <c r="C13" s="392"/>
      <c r="D13" s="392"/>
      <c r="E13" s="392"/>
      <c r="F13" s="392"/>
      <c r="G13" s="393"/>
      <c r="H13" s="393"/>
      <c r="I13" s="445"/>
      <c r="J13" s="445"/>
      <c r="K13" s="444">
        <f t="shared" si="0"/>
        <v>0</v>
      </c>
      <c r="L13" s="444">
        <f>IFERROR(VLOOKUP(D13,Data!$AB$28:$AC$33,2,FALSE),0)</f>
        <v>0</v>
      </c>
      <c r="M13" s="445">
        <v>0</v>
      </c>
      <c r="N13" s="172"/>
      <c r="O13" s="444">
        <f t="shared" si="1"/>
        <v>0</v>
      </c>
      <c r="P13" s="444">
        <f t="shared" si="2"/>
        <v>0</v>
      </c>
      <c r="Q13" s="212"/>
      <c r="R13" s="212"/>
    </row>
    <row r="14" spans="1:18" x14ac:dyDescent="0.2">
      <c r="C14" s="392"/>
      <c r="D14" s="392"/>
      <c r="E14" s="392"/>
      <c r="F14" s="392"/>
      <c r="G14" s="393"/>
      <c r="H14" s="393"/>
      <c r="I14" s="445"/>
      <c r="J14" s="445"/>
      <c r="K14" s="444">
        <f t="shared" si="0"/>
        <v>0</v>
      </c>
      <c r="L14" s="444">
        <f>IFERROR(VLOOKUP(D14,Data!$AD$28:$AE$33,2,FALSE),0)</f>
        <v>0</v>
      </c>
      <c r="M14" s="445">
        <v>0</v>
      </c>
      <c r="N14" s="172"/>
      <c r="O14" s="444">
        <f t="shared" si="1"/>
        <v>0</v>
      </c>
      <c r="P14" s="444">
        <f t="shared" si="2"/>
        <v>0</v>
      </c>
      <c r="Q14" s="212"/>
      <c r="R14" s="212"/>
    </row>
    <row r="15" spans="1:18" x14ac:dyDescent="0.2">
      <c r="C15" s="392"/>
      <c r="D15" s="392"/>
      <c r="E15" s="392"/>
      <c r="F15" s="392"/>
      <c r="G15" s="393"/>
      <c r="H15" s="393"/>
      <c r="I15" s="445"/>
      <c r="J15" s="445"/>
      <c r="K15" s="444">
        <f t="shared" si="0"/>
        <v>0</v>
      </c>
      <c r="L15" s="444">
        <f>IFERROR(VLOOKUP(D15,Data!$AF$28:$AG$33,2,FALSE),0)</f>
        <v>0</v>
      </c>
      <c r="M15" s="445">
        <v>0</v>
      </c>
      <c r="N15" s="172"/>
      <c r="O15" s="444">
        <f t="shared" si="1"/>
        <v>0</v>
      </c>
      <c r="P15" s="444">
        <f t="shared" si="2"/>
        <v>0</v>
      </c>
      <c r="Q15" s="212"/>
      <c r="R15" s="212"/>
    </row>
    <row r="16" spans="1:18" x14ac:dyDescent="0.2">
      <c r="C16" s="392"/>
      <c r="D16" s="392"/>
      <c r="E16" s="392"/>
      <c r="F16" s="392"/>
      <c r="G16" s="393"/>
      <c r="H16" s="393"/>
      <c r="I16" s="445"/>
      <c r="J16" s="445"/>
      <c r="K16" s="444">
        <f t="shared" si="0"/>
        <v>0</v>
      </c>
      <c r="L16" s="444">
        <f>IFERROR(VLOOKUP(D16,Data!$AH$28:$AI$33,2,FALSE),0)</f>
        <v>0</v>
      </c>
      <c r="M16" s="445">
        <v>0</v>
      </c>
      <c r="N16" s="172"/>
      <c r="O16" s="444">
        <f t="shared" si="1"/>
        <v>0</v>
      </c>
      <c r="P16" s="444">
        <f t="shared" si="2"/>
        <v>0</v>
      </c>
      <c r="Q16" s="212"/>
      <c r="R16" s="212"/>
    </row>
    <row r="17" spans="3:18" x14ac:dyDescent="0.2">
      <c r="C17" s="392"/>
      <c r="D17" s="392"/>
      <c r="E17" s="392"/>
      <c r="F17" s="392"/>
      <c r="G17" s="393"/>
      <c r="H17" s="393"/>
      <c r="I17" s="445"/>
      <c r="J17" s="445"/>
      <c r="K17" s="444">
        <f t="shared" si="0"/>
        <v>0</v>
      </c>
      <c r="L17" s="444">
        <f>IFERROR(VLOOKUP(D17,Data!$AB$36:$AC$41,2,FALSE),0)</f>
        <v>0</v>
      </c>
      <c r="M17" s="445">
        <v>0</v>
      </c>
      <c r="N17" s="172"/>
      <c r="O17" s="444">
        <f t="shared" si="1"/>
        <v>0</v>
      </c>
      <c r="P17" s="444">
        <f t="shared" si="2"/>
        <v>0</v>
      </c>
      <c r="Q17" s="212"/>
      <c r="R17" s="212"/>
    </row>
    <row r="18" spans="3:18" x14ac:dyDescent="0.2">
      <c r="C18" s="392"/>
      <c r="D18" s="392"/>
      <c r="E18" s="392"/>
      <c r="F18" s="392"/>
      <c r="G18" s="393"/>
      <c r="H18" s="393"/>
      <c r="I18" s="445"/>
      <c r="J18" s="445"/>
      <c r="K18" s="444">
        <f t="shared" si="0"/>
        <v>0</v>
      </c>
      <c r="L18" s="444">
        <f>IFERROR(VLOOKUP(D18,Data!$AD$36:$AE$41,2,FALSE),0)</f>
        <v>0</v>
      </c>
      <c r="M18" s="445">
        <v>0</v>
      </c>
      <c r="N18" s="172"/>
      <c r="O18" s="444">
        <f t="shared" si="1"/>
        <v>0</v>
      </c>
      <c r="P18" s="444">
        <f t="shared" si="2"/>
        <v>0</v>
      </c>
      <c r="Q18" s="212"/>
      <c r="R18" s="212"/>
    </row>
    <row r="19" spans="3:18" x14ac:dyDescent="0.2">
      <c r="C19" s="392"/>
      <c r="D19" s="392"/>
      <c r="E19" s="392"/>
      <c r="F19" s="392"/>
      <c r="G19" s="393"/>
      <c r="H19" s="393"/>
      <c r="I19" s="445"/>
      <c r="J19" s="445"/>
      <c r="K19" s="444">
        <f t="shared" si="0"/>
        <v>0</v>
      </c>
      <c r="L19" s="444">
        <f>IFERROR(VLOOKUP(D19,Data!$AF$36:$AG$41,2,FALSE),0)</f>
        <v>0</v>
      </c>
      <c r="M19" s="445">
        <v>0</v>
      </c>
      <c r="N19" s="172"/>
      <c r="O19" s="444">
        <f t="shared" si="1"/>
        <v>0</v>
      </c>
      <c r="P19" s="444">
        <f t="shared" si="2"/>
        <v>0</v>
      </c>
      <c r="Q19" s="212"/>
      <c r="R19" s="212"/>
    </row>
    <row r="20" spans="3:18" x14ac:dyDescent="0.2">
      <c r="C20" s="392"/>
      <c r="D20" s="392"/>
      <c r="E20" s="392"/>
      <c r="F20" s="392"/>
      <c r="G20" s="393"/>
      <c r="H20" s="393"/>
      <c r="I20" s="445"/>
      <c r="J20" s="445"/>
      <c r="K20" s="444">
        <f t="shared" si="0"/>
        <v>0</v>
      </c>
      <c r="L20" s="444">
        <f>IFERROR(VLOOKUP(D20,Data!$AH$36:$AI$41,2,FALSE),0)</f>
        <v>0</v>
      </c>
      <c r="M20" s="445">
        <v>0</v>
      </c>
      <c r="N20" s="172"/>
      <c r="O20" s="444">
        <f t="shared" si="1"/>
        <v>0</v>
      </c>
      <c r="P20" s="444">
        <f t="shared" si="2"/>
        <v>0</v>
      </c>
      <c r="Q20" s="212"/>
      <c r="R20" s="212"/>
    </row>
    <row r="21" spans="3:18" x14ac:dyDescent="0.2">
      <c r="C21" s="392"/>
      <c r="D21" s="392"/>
      <c r="E21" s="392"/>
      <c r="F21" s="392"/>
      <c r="G21" s="393"/>
      <c r="H21" s="393"/>
      <c r="I21" s="445"/>
      <c r="J21" s="445"/>
      <c r="K21" s="444">
        <f t="shared" si="0"/>
        <v>0</v>
      </c>
      <c r="L21" s="444">
        <f>IFERROR(VLOOKUP(D21,Data!$AB$44:$AC$49,2,FALSE),0)</f>
        <v>0</v>
      </c>
      <c r="M21" s="445">
        <v>0</v>
      </c>
      <c r="N21" s="172"/>
      <c r="O21" s="444">
        <f t="shared" si="1"/>
        <v>0</v>
      </c>
      <c r="P21" s="444">
        <f t="shared" si="2"/>
        <v>0</v>
      </c>
      <c r="Q21" s="212"/>
      <c r="R21" s="212"/>
    </row>
    <row r="22" spans="3:18" x14ac:dyDescent="0.2">
      <c r="C22" s="392"/>
      <c r="D22" s="392"/>
      <c r="E22" s="392"/>
      <c r="F22" s="392"/>
      <c r="G22" s="393"/>
      <c r="H22" s="393"/>
      <c r="I22" s="445"/>
      <c r="J22" s="445"/>
      <c r="K22" s="444">
        <f t="shared" si="0"/>
        <v>0</v>
      </c>
      <c r="L22" s="444">
        <f>IFERROR(VLOOKUP(D22,Data!$AD$44:$AE$49,2,FALSE),0)</f>
        <v>0</v>
      </c>
      <c r="M22" s="445">
        <v>0</v>
      </c>
      <c r="N22" s="172"/>
      <c r="O22" s="444">
        <f t="shared" si="1"/>
        <v>0</v>
      </c>
      <c r="P22" s="444">
        <f t="shared" si="2"/>
        <v>0</v>
      </c>
      <c r="Q22" s="212"/>
      <c r="R22" s="212"/>
    </row>
    <row r="23" spans="3:18" x14ac:dyDescent="0.2">
      <c r="C23" s="392"/>
      <c r="D23" s="392"/>
      <c r="E23" s="392"/>
      <c r="F23" s="392"/>
      <c r="G23" s="393"/>
      <c r="H23" s="393"/>
      <c r="I23" s="445"/>
      <c r="J23" s="445"/>
      <c r="K23" s="444">
        <f t="shared" si="0"/>
        <v>0</v>
      </c>
      <c r="L23" s="444">
        <f>IFERROR(VLOOKUP(D23,Data!$AF$44:$AG$49,2,FALSE),0)</f>
        <v>0</v>
      </c>
      <c r="M23" s="445">
        <v>0</v>
      </c>
      <c r="N23" s="172"/>
      <c r="O23" s="444">
        <f t="shared" si="1"/>
        <v>0</v>
      </c>
      <c r="P23" s="444">
        <f t="shared" si="2"/>
        <v>0</v>
      </c>
      <c r="Q23" s="212"/>
      <c r="R23" s="212"/>
    </row>
    <row r="24" spans="3:18" x14ac:dyDescent="0.2">
      <c r="C24" s="392"/>
      <c r="D24" s="392"/>
      <c r="E24" s="392"/>
      <c r="F24" s="392"/>
      <c r="G24" s="393"/>
      <c r="H24" s="393"/>
      <c r="I24" s="445"/>
      <c r="J24" s="445"/>
      <c r="K24" s="444">
        <f t="shared" si="0"/>
        <v>0</v>
      </c>
      <c r="L24" s="444">
        <f>IFERROR(VLOOKUP(D24,Data!$AH$44:$AI$49,2,FALSE),0)</f>
        <v>0</v>
      </c>
      <c r="M24" s="445">
        <v>0</v>
      </c>
      <c r="N24" s="172"/>
      <c r="O24" s="444">
        <f t="shared" si="1"/>
        <v>0</v>
      </c>
      <c r="P24" s="444">
        <f t="shared" si="2"/>
        <v>0</v>
      </c>
      <c r="Q24" s="212"/>
      <c r="R24" s="212"/>
    </row>
    <row r="25" spans="3:18" x14ac:dyDescent="0.2">
      <c r="C25" s="392"/>
      <c r="D25" s="392"/>
      <c r="E25" s="392"/>
      <c r="F25" s="392"/>
      <c r="G25" s="393"/>
      <c r="H25" s="393"/>
      <c r="I25" s="445"/>
      <c r="J25" s="445"/>
      <c r="K25" s="444">
        <f t="shared" si="0"/>
        <v>0</v>
      </c>
      <c r="L25" s="444">
        <f>IFERROR(VLOOKUP(D25,Data!$AB$52:$AC$57,2,FALSE),0)</f>
        <v>0</v>
      </c>
      <c r="M25" s="445">
        <v>0</v>
      </c>
      <c r="N25" s="172"/>
      <c r="O25" s="444">
        <f t="shared" si="1"/>
        <v>0</v>
      </c>
      <c r="P25" s="444">
        <f t="shared" si="2"/>
        <v>0</v>
      </c>
      <c r="Q25" s="212"/>
      <c r="R25" s="212"/>
    </row>
    <row r="26" spans="3:18" x14ac:dyDescent="0.2">
      <c r="C26" s="392"/>
      <c r="D26" s="392"/>
      <c r="E26" s="392"/>
      <c r="F26" s="392"/>
      <c r="G26" s="393"/>
      <c r="H26" s="393"/>
      <c r="I26" s="445"/>
      <c r="J26" s="445"/>
      <c r="K26" s="444">
        <f>J26+I26</f>
        <v>0</v>
      </c>
      <c r="L26" s="444">
        <f>IFERROR(VLOOKUP(D26,Data!$AD$52:$AE$57,2,FALSE),0)</f>
        <v>0</v>
      </c>
      <c r="M26" s="445">
        <v>0</v>
      </c>
      <c r="N26" s="172"/>
      <c r="O26" s="444">
        <f t="shared" si="1"/>
        <v>0</v>
      </c>
      <c r="P26" s="444">
        <f t="shared" si="2"/>
        <v>0</v>
      </c>
      <c r="Q26" s="212"/>
      <c r="R26" s="212"/>
    </row>
    <row r="27" spans="3:18" x14ac:dyDescent="0.2">
      <c r="C27" s="392"/>
      <c r="D27" s="392"/>
      <c r="E27" s="392"/>
      <c r="F27" s="392"/>
      <c r="G27" s="393"/>
      <c r="H27" s="393"/>
      <c r="I27" s="445"/>
      <c r="J27" s="445"/>
      <c r="K27" s="444">
        <f t="shared" si="0"/>
        <v>0</v>
      </c>
      <c r="L27" s="444">
        <f>IFERROR(VLOOKUP(D27,Data!$AF$52:$AG$57,2,FALSE),0)</f>
        <v>0</v>
      </c>
      <c r="M27" s="445">
        <v>0</v>
      </c>
      <c r="N27" s="172"/>
      <c r="O27" s="444">
        <f t="shared" si="1"/>
        <v>0</v>
      </c>
      <c r="P27" s="444">
        <f t="shared" si="2"/>
        <v>0</v>
      </c>
      <c r="Q27" s="212"/>
      <c r="R27" s="212"/>
    </row>
    <row r="28" spans="3:18" x14ac:dyDescent="0.2">
      <c r="C28" s="392"/>
      <c r="D28" s="392"/>
      <c r="E28" s="392"/>
      <c r="F28" s="392"/>
      <c r="G28" s="393"/>
      <c r="H28" s="393"/>
      <c r="I28" s="445"/>
      <c r="J28" s="445"/>
      <c r="K28" s="444">
        <f t="shared" si="0"/>
        <v>0</v>
      </c>
      <c r="L28" s="444">
        <f>IFERROR(VLOOKUP(D28,Data!$AH$52:$AI$57,2,FALSE),)</f>
        <v>0</v>
      </c>
      <c r="M28" s="445">
        <v>0</v>
      </c>
      <c r="N28" s="172"/>
      <c r="O28" s="444">
        <f t="shared" si="1"/>
        <v>0</v>
      </c>
      <c r="P28" s="444">
        <f t="shared" si="2"/>
        <v>0</v>
      </c>
      <c r="Q28" s="212"/>
      <c r="R28" s="212"/>
    </row>
    <row r="29" spans="3:18" x14ac:dyDescent="0.2">
      <c r="C29" s="392"/>
      <c r="D29" s="495"/>
      <c r="E29" s="495"/>
      <c r="F29" s="495"/>
      <c r="G29" s="496"/>
      <c r="H29" s="496"/>
      <c r="I29" s="445"/>
      <c r="J29" s="445"/>
      <c r="K29" s="444">
        <f t="shared" si="0"/>
        <v>0</v>
      </c>
      <c r="L29" s="444">
        <f>IFERROR(VLOOKUP(D29,Data!$AH$52:$AI$57,2,FALSE),)</f>
        <v>0</v>
      </c>
      <c r="M29" s="445">
        <v>0</v>
      </c>
      <c r="N29" s="172"/>
      <c r="O29" s="444">
        <f t="shared" si="1"/>
        <v>0</v>
      </c>
      <c r="P29" s="444">
        <f t="shared" si="2"/>
        <v>0</v>
      </c>
      <c r="Q29" s="212"/>
      <c r="R29" s="212"/>
    </row>
    <row r="30" spans="3:18" x14ac:dyDescent="0.2">
      <c r="C30" s="392"/>
      <c r="D30" s="495"/>
      <c r="E30" s="495"/>
      <c r="F30" s="495"/>
      <c r="G30" s="496"/>
      <c r="H30" s="496"/>
      <c r="I30" s="445"/>
      <c r="J30" s="445"/>
      <c r="K30" s="444">
        <f t="shared" si="0"/>
        <v>0</v>
      </c>
      <c r="L30" s="444">
        <f>IFERROR(VLOOKUP(D30,Data!$AH$52:$AI$57,2,FALSE),)</f>
        <v>0</v>
      </c>
      <c r="M30" s="445">
        <v>0</v>
      </c>
      <c r="N30" s="172"/>
      <c r="O30" s="444">
        <f t="shared" si="1"/>
        <v>0</v>
      </c>
      <c r="P30" s="444">
        <f t="shared" si="2"/>
        <v>0</v>
      </c>
      <c r="Q30" s="212"/>
      <c r="R30" s="212"/>
    </row>
    <row r="31" spans="3:18" x14ac:dyDescent="0.2">
      <c r="C31" s="392"/>
      <c r="D31" s="495"/>
      <c r="E31" s="495"/>
      <c r="F31" s="495"/>
      <c r="G31" s="496"/>
      <c r="H31" s="496"/>
      <c r="I31" s="445"/>
      <c r="J31" s="445"/>
      <c r="K31" s="444">
        <f t="shared" si="0"/>
        <v>0</v>
      </c>
      <c r="L31" s="444">
        <f>IFERROR(VLOOKUP(D31,Data!$AH$52:$AI$57,2,FALSE),)</f>
        <v>0</v>
      </c>
      <c r="M31" s="445">
        <v>0</v>
      </c>
      <c r="N31" s="172"/>
      <c r="O31" s="444">
        <f t="shared" si="1"/>
        <v>0</v>
      </c>
      <c r="P31" s="444">
        <f t="shared" si="2"/>
        <v>0</v>
      </c>
      <c r="Q31" s="212"/>
      <c r="R31" s="212"/>
    </row>
    <row r="32" spans="3:18" x14ac:dyDescent="0.2">
      <c r="C32" s="392"/>
      <c r="D32" s="495"/>
      <c r="E32" s="495"/>
      <c r="F32" s="495"/>
      <c r="G32" s="496"/>
      <c r="H32" s="496"/>
      <c r="I32" s="445"/>
      <c r="J32" s="445"/>
      <c r="K32" s="444">
        <f t="shared" si="0"/>
        <v>0</v>
      </c>
      <c r="L32" s="444">
        <f>IFERROR(VLOOKUP(D32,Data!$AH$52:$AI$57,2,FALSE),)</f>
        <v>0</v>
      </c>
      <c r="M32" s="445">
        <v>0</v>
      </c>
      <c r="N32" s="172"/>
      <c r="O32" s="444">
        <f t="shared" si="1"/>
        <v>0</v>
      </c>
      <c r="P32" s="444">
        <f t="shared" si="2"/>
        <v>0</v>
      </c>
      <c r="Q32" s="212"/>
      <c r="R32" s="212"/>
    </row>
    <row r="33" spans="1:18" x14ac:dyDescent="0.2">
      <c r="C33" s="392"/>
      <c r="D33" s="495"/>
      <c r="E33" s="495"/>
      <c r="F33" s="495"/>
      <c r="G33" s="496"/>
      <c r="H33" s="496"/>
      <c r="I33" s="445"/>
      <c r="J33" s="445"/>
      <c r="K33" s="444">
        <f t="shared" si="0"/>
        <v>0</v>
      </c>
      <c r="L33" s="444">
        <f>IFERROR(VLOOKUP(D33,Data!$AH$52:$AI$57,2,FALSE),)</f>
        <v>0</v>
      </c>
      <c r="M33" s="445">
        <v>0</v>
      </c>
      <c r="N33" s="172"/>
      <c r="O33" s="444">
        <f t="shared" si="1"/>
        <v>0</v>
      </c>
      <c r="P33" s="444">
        <f t="shared" si="2"/>
        <v>0</v>
      </c>
      <c r="Q33" s="212"/>
      <c r="R33" s="212"/>
    </row>
    <row r="34" spans="1:18" x14ac:dyDescent="0.2">
      <c r="C34" s="392"/>
      <c r="D34" s="495"/>
      <c r="E34" s="495"/>
      <c r="F34" s="495"/>
      <c r="G34" s="496"/>
      <c r="H34" s="496"/>
      <c r="I34" s="445"/>
      <c r="J34" s="445"/>
      <c r="K34" s="444">
        <f t="shared" si="0"/>
        <v>0</v>
      </c>
      <c r="L34" s="444">
        <f>IFERROR(VLOOKUP(D34,Data!$AH$52:$AI$57,2,FALSE),)</f>
        <v>0</v>
      </c>
      <c r="M34" s="445">
        <v>0</v>
      </c>
      <c r="N34" s="172"/>
      <c r="O34" s="444">
        <f t="shared" si="1"/>
        <v>0</v>
      </c>
      <c r="P34" s="444">
        <f t="shared" si="2"/>
        <v>0</v>
      </c>
      <c r="Q34" s="212"/>
      <c r="R34" s="212"/>
    </row>
    <row r="35" spans="1:18" x14ac:dyDescent="0.2">
      <c r="B35" s="389" t="s">
        <v>4221</v>
      </c>
      <c r="C35" s="392"/>
      <c r="D35" s="387"/>
      <c r="E35" s="387"/>
      <c r="F35" s="387"/>
      <c r="G35" s="387"/>
      <c r="H35" s="387"/>
      <c r="I35" s="447"/>
      <c r="J35" s="447"/>
      <c r="K35" s="444">
        <f t="shared" si="0"/>
        <v>0</v>
      </c>
      <c r="L35" s="446"/>
      <c r="M35" s="450"/>
      <c r="N35" s="172"/>
      <c r="O35" s="444">
        <f t="shared" si="1"/>
        <v>0</v>
      </c>
      <c r="P35" s="444">
        <f t="shared" si="2"/>
        <v>0</v>
      </c>
    </row>
    <row r="36" spans="1:18" x14ac:dyDescent="0.2">
      <c r="B36" s="389" t="s">
        <v>4221</v>
      </c>
      <c r="C36" s="392"/>
      <c r="D36" s="387"/>
      <c r="E36" s="387"/>
      <c r="F36" s="387"/>
      <c r="G36" s="387"/>
      <c r="H36" s="387"/>
      <c r="I36" s="447"/>
      <c r="J36" s="447"/>
      <c r="K36" s="444">
        <f t="shared" si="0"/>
        <v>0</v>
      </c>
      <c r="L36" s="446"/>
      <c r="M36" s="450"/>
      <c r="N36" s="172"/>
      <c r="O36" s="444">
        <f t="shared" si="1"/>
        <v>0</v>
      </c>
      <c r="P36" s="444">
        <f t="shared" si="2"/>
        <v>0</v>
      </c>
    </row>
    <row r="37" spans="1:18" x14ac:dyDescent="0.2">
      <c r="B37" s="389" t="s">
        <v>4221</v>
      </c>
      <c r="C37" s="392"/>
      <c r="D37" s="387"/>
      <c r="E37" s="387"/>
      <c r="F37" s="387"/>
      <c r="G37" s="387"/>
      <c r="H37" s="387"/>
      <c r="I37" s="447"/>
      <c r="J37" s="447"/>
      <c r="K37" s="444">
        <f t="shared" si="0"/>
        <v>0</v>
      </c>
      <c r="L37" s="446"/>
      <c r="M37" s="450"/>
      <c r="N37" s="172"/>
      <c r="O37" s="444">
        <f t="shared" si="1"/>
        <v>0</v>
      </c>
      <c r="P37" s="444">
        <f t="shared" si="2"/>
        <v>0</v>
      </c>
    </row>
    <row r="38" spans="1:18" x14ac:dyDescent="0.2">
      <c r="B38" s="389" t="s">
        <v>4221</v>
      </c>
      <c r="C38" s="392"/>
      <c r="D38" s="387"/>
      <c r="E38" s="387"/>
      <c r="F38" s="387"/>
      <c r="G38" s="387"/>
      <c r="H38" s="387"/>
      <c r="I38" s="447"/>
      <c r="J38" s="447"/>
      <c r="K38" s="444">
        <f t="shared" si="0"/>
        <v>0</v>
      </c>
      <c r="L38" s="446"/>
      <c r="M38" s="450"/>
      <c r="N38" s="172"/>
      <c r="O38" s="444">
        <f t="shared" si="1"/>
        <v>0</v>
      </c>
      <c r="P38" s="444">
        <f t="shared" si="2"/>
        <v>0</v>
      </c>
    </row>
    <row r="39" spans="1:18" x14ac:dyDescent="0.2">
      <c r="B39" s="389" t="s">
        <v>4221</v>
      </c>
      <c r="C39" s="392"/>
      <c r="D39" s="387"/>
      <c r="E39" s="387"/>
      <c r="F39" s="387"/>
      <c r="G39" s="387"/>
      <c r="H39" s="387"/>
      <c r="I39" s="447"/>
      <c r="J39" s="447"/>
      <c r="K39" s="444">
        <f t="shared" si="0"/>
        <v>0</v>
      </c>
      <c r="L39" s="446"/>
      <c r="M39" s="450"/>
      <c r="N39" s="172"/>
      <c r="O39" s="444">
        <f t="shared" si="1"/>
        <v>0</v>
      </c>
      <c r="P39" s="444">
        <f t="shared" si="2"/>
        <v>0</v>
      </c>
    </row>
    <row r="40" spans="1:18" x14ac:dyDescent="0.2">
      <c r="B40" s="389" t="s">
        <v>4221</v>
      </c>
      <c r="C40" s="392"/>
      <c r="D40" s="387"/>
      <c r="E40" s="387"/>
      <c r="F40" s="387"/>
      <c r="G40" s="387"/>
      <c r="H40" s="387"/>
      <c r="I40" s="447"/>
      <c r="J40" s="447"/>
      <c r="K40" s="444">
        <f t="shared" si="0"/>
        <v>0</v>
      </c>
      <c r="L40" s="446"/>
      <c r="M40" s="450"/>
      <c r="N40" s="172"/>
      <c r="O40" s="444">
        <f t="shared" si="1"/>
        <v>0</v>
      </c>
      <c r="P40" s="444">
        <f t="shared" si="2"/>
        <v>0</v>
      </c>
    </row>
    <row r="41" spans="1:18" x14ac:dyDescent="0.2">
      <c r="B41" s="389" t="s">
        <v>4221</v>
      </c>
      <c r="C41" s="392"/>
      <c r="D41" s="387"/>
      <c r="E41" s="387"/>
      <c r="F41" s="387"/>
      <c r="G41" s="387"/>
      <c r="H41" s="387"/>
      <c r="I41" s="447"/>
      <c r="J41" s="447"/>
      <c r="K41" s="444">
        <f t="shared" si="0"/>
        <v>0</v>
      </c>
      <c r="L41" s="446"/>
      <c r="M41" s="450"/>
      <c r="N41" s="172"/>
      <c r="O41" s="444">
        <f t="shared" si="1"/>
        <v>0</v>
      </c>
      <c r="P41" s="444">
        <f t="shared" si="2"/>
        <v>0</v>
      </c>
    </row>
    <row r="42" spans="1:18" x14ac:dyDescent="0.2">
      <c r="B42" s="389" t="s">
        <v>4221</v>
      </c>
      <c r="C42" s="392"/>
      <c r="D42" s="387"/>
      <c r="E42" s="387"/>
      <c r="F42" s="387"/>
      <c r="G42" s="387"/>
      <c r="H42" s="387"/>
      <c r="I42" s="447"/>
      <c r="J42" s="447"/>
      <c r="K42" s="444">
        <f t="shared" si="0"/>
        <v>0</v>
      </c>
      <c r="L42" s="446"/>
      <c r="M42" s="450"/>
      <c r="N42" s="172"/>
      <c r="O42" s="444">
        <f t="shared" si="1"/>
        <v>0</v>
      </c>
      <c r="P42" s="444">
        <f t="shared" si="2"/>
        <v>0</v>
      </c>
    </row>
    <row r="43" spans="1:18" x14ac:dyDescent="0.2">
      <c r="B43" s="389" t="s">
        <v>4221</v>
      </c>
      <c r="C43" s="392"/>
      <c r="D43" s="387"/>
      <c r="E43" s="387"/>
      <c r="F43" s="387"/>
      <c r="G43" s="387"/>
      <c r="H43" s="387"/>
      <c r="I43" s="447"/>
      <c r="J43" s="447"/>
      <c r="K43" s="444">
        <f t="shared" si="0"/>
        <v>0</v>
      </c>
      <c r="L43" s="446"/>
      <c r="M43" s="450"/>
      <c r="N43" s="172"/>
      <c r="O43" s="444">
        <f t="shared" si="1"/>
        <v>0</v>
      </c>
      <c r="P43" s="444">
        <f t="shared" si="2"/>
        <v>0</v>
      </c>
    </row>
    <row r="44" spans="1:18" x14ac:dyDescent="0.2">
      <c r="B44" s="394" t="s">
        <v>4477</v>
      </c>
      <c r="C44" s="392"/>
      <c r="D44" s="388"/>
      <c r="E44" s="388"/>
      <c r="F44" s="388"/>
      <c r="G44" s="388"/>
      <c r="H44" s="388"/>
      <c r="I44" s="448"/>
      <c r="J44" s="448"/>
      <c r="K44" s="444">
        <f t="shared" ref="K44" si="3">J44+I44</f>
        <v>0</v>
      </c>
      <c r="L44" s="446"/>
      <c r="M44" s="450"/>
      <c r="N44" s="172"/>
      <c r="O44" s="444">
        <f t="shared" si="1"/>
        <v>0</v>
      </c>
      <c r="P44" s="444">
        <f t="shared" si="2"/>
        <v>0</v>
      </c>
    </row>
    <row r="45" spans="1:18" ht="15" x14ac:dyDescent="0.25">
      <c r="C45" s="33">
        <f>SUM(C9:C44)</f>
        <v>0</v>
      </c>
      <c r="D45" s="12" t="s">
        <v>3214</v>
      </c>
      <c r="E45" s="397">
        <f>SUM(E9:E44)</f>
        <v>0</v>
      </c>
      <c r="F45" s="34"/>
      <c r="G45" s="34"/>
      <c r="H45" s="34"/>
      <c r="I45" s="449"/>
      <c r="J45" s="449"/>
      <c r="K45" s="34"/>
      <c r="L45" s="34"/>
      <c r="M45" s="34"/>
      <c r="N45" s="34"/>
      <c r="O45" s="451"/>
      <c r="P45" s="452">
        <f>SUM(P9:P44)</f>
        <v>0</v>
      </c>
      <c r="Q45" s="212"/>
      <c r="R45" s="212"/>
    </row>
    <row r="47" spans="1:18" s="197" customFormat="1" ht="24.95" customHeight="1" x14ac:dyDescent="0.2">
      <c r="A47" s="739" t="s">
        <v>4223</v>
      </c>
      <c r="B47" s="187"/>
      <c r="C47" s="187"/>
      <c r="D47" s="187"/>
      <c r="E47" s="187"/>
      <c r="F47" s="746"/>
      <c r="G47" s="746"/>
      <c r="H47" s="746"/>
      <c r="I47" s="746"/>
      <c r="J47" s="746"/>
      <c r="K47" s="746"/>
      <c r="L47" s="187"/>
      <c r="M47" s="187"/>
      <c r="N47" s="187"/>
      <c r="O47" s="187"/>
      <c r="P47" s="187"/>
      <c r="Q47" s="187"/>
      <c r="R47" s="187"/>
    </row>
    <row r="48" spans="1:18" ht="14.25" customHeight="1" x14ac:dyDescent="0.25">
      <c r="A48" s="98"/>
      <c r="D48" s="5" t="s">
        <v>4819</v>
      </c>
      <c r="E48" s="5" t="s">
        <v>4821</v>
      </c>
      <c r="F48" s="20" t="s">
        <v>4822</v>
      </c>
      <c r="G48" s="20"/>
      <c r="H48" s="20"/>
      <c r="I48" s="20"/>
      <c r="J48" s="20"/>
      <c r="K48" s="20"/>
    </row>
    <row r="49" spans="1:17" ht="14.25" customHeight="1" x14ac:dyDescent="0.25">
      <c r="A49" s="98"/>
      <c r="C49" t="s">
        <v>4820</v>
      </c>
      <c r="D49" s="442">
        <f>C45</f>
        <v>0</v>
      </c>
      <c r="E49" s="716">
        <f>IFERROR(C45/C45,0)</f>
        <v>0</v>
      </c>
      <c r="F49" s="777"/>
      <c r="G49" s="20"/>
      <c r="H49" s="5" t="s">
        <v>4836</v>
      </c>
      <c r="I49" s="1143">
        <f>'Housing Credits'!C69</f>
        <v>0</v>
      </c>
      <c r="J49" s="1144"/>
      <c r="K49"/>
      <c r="L49" s="136" t="s">
        <v>4381</v>
      </c>
    </row>
    <row r="50" spans="1:17" ht="14.25" customHeight="1" x14ac:dyDescent="0.25">
      <c r="A50" s="98"/>
      <c r="C50" s="5" t="s">
        <v>4042</v>
      </c>
      <c r="D50" s="442">
        <f>SUM(C9:C34)</f>
        <v>0</v>
      </c>
      <c r="E50" s="716">
        <f>IFERROR(D50/D49,0)</f>
        <v>0</v>
      </c>
      <c r="F50" s="777"/>
      <c r="G50" s="20"/>
      <c r="H50" s="5" t="s">
        <v>4384</v>
      </c>
      <c r="I50" s="383" t="str">
        <f>IFERROR(IF(SUM(E66+E67+E68+E69+E70)&gt;=0.4,"Yes","No"),0)</f>
        <v>No</v>
      </c>
      <c r="J50" s="20"/>
      <c r="K50" s="20"/>
      <c r="L50" s="1134"/>
      <c r="M50" s="1135"/>
      <c r="N50" s="1135"/>
      <c r="O50" s="1136"/>
    </row>
    <row r="51" spans="1:17" ht="14.25" customHeight="1" x14ac:dyDescent="0.25">
      <c r="A51" s="98"/>
      <c r="C51" s="5" t="s">
        <v>5092</v>
      </c>
      <c r="D51" s="442">
        <f>C44</f>
        <v>0</v>
      </c>
      <c r="E51" s="716">
        <f>IFERROR(D51/D49,0)</f>
        <v>0</v>
      </c>
      <c r="F51" s="861"/>
      <c r="G51" s="20"/>
      <c r="H51" s="5" t="s">
        <v>4385</v>
      </c>
      <c r="I51" s="383" t="str">
        <f>IFERROR(IF(SUM(E67+E68+E69+E70)&gt;=0.2,"Yes","No"),0)</f>
        <v>No</v>
      </c>
      <c r="J51" s="20"/>
      <c r="K51" s="20"/>
      <c r="L51" s="1137"/>
      <c r="M51" s="1138"/>
      <c r="N51" s="1138"/>
      <c r="O51" s="1139"/>
    </row>
    <row r="52" spans="1:17" ht="14.25" customHeight="1" x14ac:dyDescent="0.25">
      <c r="A52" s="98"/>
      <c r="C52" s="5" t="s">
        <v>4302</v>
      </c>
      <c r="D52" s="442">
        <f>SUM(C35:C43)</f>
        <v>0</v>
      </c>
      <c r="E52" s="716">
        <f>IFERROR(D52/D49,0)</f>
        <v>0</v>
      </c>
      <c r="F52" s="777"/>
      <c r="G52" s="20"/>
      <c r="H52" s="5" t="s">
        <v>4386</v>
      </c>
      <c r="I52" s="718" t="str">
        <f>IFERROR(IF(I53&lt;=0.6,"Yes","No"),0)</f>
        <v>Yes</v>
      </c>
      <c r="J52" s="20"/>
      <c r="K52" s="20"/>
      <c r="L52" s="1137"/>
      <c r="M52" s="1138"/>
      <c r="N52" s="1138"/>
      <c r="O52" s="1139"/>
    </row>
    <row r="53" spans="1:17" ht="14.25" customHeight="1" x14ac:dyDescent="0.25">
      <c r="A53" s="98"/>
      <c r="C53" s="5" t="s">
        <v>4868</v>
      </c>
      <c r="D53" s="442">
        <f>SUMIF(M9:M34,"&gt;0",C9:C34)</f>
        <v>0</v>
      </c>
      <c r="E53" s="716">
        <f>IFERROR(D53/D49,0)</f>
        <v>0</v>
      </c>
      <c r="F53" s="776">
        <f>IFERROR(D53/D50,0)</f>
        <v>0</v>
      </c>
      <c r="G53" s="20"/>
      <c r="H53" s="720" t="s">
        <v>4350</v>
      </c>
      <c r="I53" s="719">
        <f>IFERROR(((D79*0.2)+(D78*0.3)+(D77*0.4)+(D76*0.5)+(D75*0.6)+(D74*0.7)+(D73*0.8))/D50,0)</f>
        <v>0</v>
      </c>
      <c r="J53" s="20"/>
      <c r="K53" s="20"/>
      <c r="L53" s="1137"/>
      <c r="M53" s="1138"/>
      <c r="N53" s="1138"/>
      <c r="O53" s="1139"/>
    </row>
    <row r="54" spans="1:17" ht="14.25" customHeight="1" x14ac:dyDescent="0.25">
      <c r="A54" s="98"/>
      <c r="F54" s="717"/>
      <c r="G54" s="20"/>
      <c r="H54" s="830"/>
      <c r="I54" s="862"/>
      <c r="J54" s="20"/>
      <c r="K54" s="20"/>
      <c r="L54" s="1137"/>
      <c r="M54" s="1138"/>
      <c r="N54" s="1138"/>
      <c r="O54" s="1139"/>
    </row>
    <row r="55" spans="1:17" ht="14.25" customHeight="1" x14ac:dyDescent="0.25">
      <c r="A55" s="98"/>
      <c r="C55" s="885" t="s">
        <v>4826</v>
      </c>
      <c r="D55" s="714">
        <f>SUMIFS(C9:C43,D9:D43,"&lt;=1")</f>
        <v>0</v>
      </c>
      <c r="E55" s="594">
        <f>IFERROR(D55/(D49-D51),0)</f>
        <v>0</v>
      </c>
      <c r="F55" s="594">
        <f>IFERROR(D55/D50,0)</f>
        <v>0</v>
      </c>
      <c r="G55" s="20"/>
      <c r="H55" s="191"/>
      <c r="I55" s="191"/>
      <c r="J55" s="191"/>
      <c r="K55" s="191"/>
      <c r="L55" s="1137"/>
      <c r="M55" s="1138"/>
      <c r="N55" s="1138"/>
      <c r="O55" s="1139"/>
    </row>
    <row r="56" spans="1:17" x14ac:dyDescent="0.2">
      <c r="C56" s="471" t="s">
        <v>4825</v>
      </c>
      <c r="D56" s="442">
        <f>SUMIFS(C9:C34,G9:G34,"&lt;=.8",D9:D34,"&lt;=1")</f>
        <v>0</v>
      </c>
      <c r="E56" s="594">
        <f>IFERROR(D56/(D49-D51),0)</f>
        <v>0</v>
      </c>
      <c r="F56" s="594">
        <f>IFERROR(D56/D50,0)</f>
        <v>0</v>
      </c>
      <c r="H56" s="191"/>
      <c r="I56" s="191"/>
      <c r="L56" s="1137"/>
      <c r="M56" s="1138"/>
      <c r="N56" s="1138"/>
      <c r="O56" s="1139"/>
    </row>
    <row r="57" spans="1:17" x14ac:dyDescent="0.2">
      <c r="C57" s="471" t="s">
        <v>4827</v>
      </c>
      <c r="D57" s="714">
        <f>SUMIFS(C9:C43,D9:D43,"=2")</f>
        <v>0</v>
      </c>
      <c r="E57" s="594">
        <f>IFERROR(D57/(D49-D51),0)</f>
        <v>0</v>
      </c>
      <c r="F57" s="594">
        <f>IFERROR(D57/D50,0)</f>
        <v>0</v>
      </c>
      <c r="L57" s="1137"/>
      <c r="M57" s="1138"/>
      <c r="N57" s="1138"/>
      <c r="O57" s="1139"/>
    </row>
    <row r="58" spans="1:17" x14ac:dyDescent="0.2">
      <c r="C58" s="471" t="s">
        <v>4828</v>
      </c>
      <c r="D58" s="442">
        <f>SUMIFS(C9:C34,G9:G34,"&lt;=.8",D9:D34,"=2")</f>
        <v>0</v>
      </c>
      <c r="E58" s="594">
        <f>IFERROR(D58/(D49-D51),0)</f>
        <v>0</v>
      </c>
      <c r="F58" s="594">
        <f>IFERROR(D58/D50,0)</f>
        <v>0</v>
      </c>
      <c r="H58" s="147" t="s">
        <v>4382</v>
      </c>
      <c r="I58" s="385">
        <f>SUM(D69+D70)</f>
        <v>0</v>
      </c>
      <c r="L58" s="1140"/>
      <c r="M58" s="1141"/>
      <c r="N58" s="1141"/>
      <c r="O58" s="1142"/>
    </row>
    <row r="59" spans="1:17" x14ac:dyDescent="0.2">
      <c r="C59" s="471" t="s">
        <v>4823</v>
      </c>
      <c r="D59" s="714">
        <f>SUMIFS(C9:C43,D9:D43,"&gt;=3")</f>
        <v>0</v>
      </c>
      <c r="E59" s="594">
        <f>IFERROR(D59/(D49-D51),0)</f>
        <v>0</v>
      </c>
      <c r="F59" s="594">
        <f>IFERROR(D59/D50,0)</f>
        <v>0</v>
      </c>
      <c r="H59" s="384" t="s">
        <v>4383</v>
      </c>
      <c r="I59" s="214">
        <f>IFERROR(I58/D50,0)</f>
        <v>0</v>
      </c>
      <c r="J59" s="191"/>
      <c r="K59" s="191"/>
    </row>
    <row r="60" spans="1:17" x14ac:dyDescent="0.2">
      <c r="C60" s="471" t="s">
        <v>4824</v>
      </c>
      <c r="D60" s="442">
        <f>SUMIFS(C9:C34,G9:G34,"&lt;=.8",D9:D34,"&gt;=3")</f>
        <v>0</v>
      </c>
      <c r="E60" s="594">
        <f>IFERROR(D60/(D49-D51),0)</f>
        <v>0</v>
      </c>
      <c r="F60" s="594">
        <f>IFERROR(D60/D50,0)</f>
        <v>0</v>
      </c>
      <c r="H60" s="384" t="s">
        <v>5113</v>
      </c>
      <c r="I60" s="214">
        <f>IFERROR(I58/(D49-D51),0)</f>
        <v>0</v>
      </c>
      <c r="J60" s="191"/>
      <c r="K60" s="191"/>
    </row>
    <row r="61" spans="1:17" x14ac:dyDescent="0.2">
      <c r="C61" s="471" t="s">
        <v>5112</v>
      </c>
      <c r="D61" s="715">
        <f>SUMIFS(C9:C34,G9:G34,"&lt;=.6",D9:D34,"&gt;=3")</f>
        <v>0</v>
      </c>
      <c r="E61" s="594">
        <f>IFERROR(D61/(D49-D51),0)</f>
        <v>0</v>
      </c>
      <c r="F61" s="838">
        <f>IFERROR(SUMIFS(C9:C34,G9:G34,"&lt;=.6",D9:D34,"&gt;=3")/D50,0)</f>
        <v>0</v>
      </c>
      <c r="H61" s="191"/>
      <c r="I61" s="191"/>
      <c r="J61" s="191"/>
      <c r="K61" s="191"/>
    </row>
    <row r="62" spans="1:17" x14ac:dyDescent="0.2">
      <c r="C62" s="19"/>
      <c r="F62" s="590"/>
      <c r="H62" s="191"/>
      <c r="I62" s="191"/>
      <c r="J62" s="191"/>
      <c r="K62" s="191"/>
    </row>
    <row r="63" spans="1:17" x14ac:dyDescent="0.2">
      <c r="C63" s="590" t="s">
        <v>5109</v>
      </c>
      <c r="F63" s="590"/>
      <c r="H63" s="191"/>
      <c r="I63" s="191"/>
      <c r="J63" s="191"/>
      <c r="K63" s="191"/>
    </row>
    <row r="64" spans="1:17" ht="15" x14ac:dyDescent="0.25">
      <c r="C64" s="471" t="s">
        <v>4834</v>
      </c>
      <c r="D64" s="591">
        <f>SUMIF(G9:G34,"&lt;=.8",C9:C34)-D65-D66-D67-D68-D69-D70</f>
        <v>0</v>
      </c>
      <c r="E64" s="594">
        <f>IFERROR(D64/(D49-D51),0)</f>
        <v>0</v>
      </c>
      <c r="F64" s="594">
        <f>IFERROR(D64/D50,0)</f>
        <v>0</v>
      </c>
      <c r="G64" s="886" t="str">
        <f>IF(AND('Housing Credits'!C69&lt;&gt;"Average Income",COUNTIF(G9:G34,"=0.8")&gt;=1),"Selected minimum set-aside does not permit units above 60%","")</f>
        <v/>
      </c>
      <c r="L64" s="11" t="s">
        <v>4909</v>
      </c>
      <c r="M64" s="16" t="s">
        <v>3217</v>
      </c>
      <c r="N64" s="16" t="s">
        <v>3145</v>
      </c>
      <c r="O64" s="16" t="s">
        <v>3146</v>
      </c>
      <c r="P64" s="16" t="s">
        <v>3147</v>
      </c>
      <c r="Q64" s="16" t="s">
        <v>3148</v>
      </c>
    </row>
    <row r="65" spans="3:18" x14ac:dyDescent="0.2">
      <c r="C65" s="471" t="s">
        <v>4833</v>
      </c>
      <c r="D65" s="591">
        <f>SUMIF(G9:G34,"&lt;=.7",C9:C34)-D66-D67-D68-D69-D70</f>
        <v>0</v>
      </c>
      <c r="E65" s="594">
        <f>IFERROR(D65/(D49-D51),0)</f>
        <v>0</v>
      </c>
      <c r="F65" s="594">
        <f>IFERROR(D65/D50,0)</f>
        <v>0</v>
      </c>
      <c r="G65" s="886" t="str">
        <f>IF(AND('Housing Credits'!C69&lt;&gt;"Average Income",COUNTIF(G9:G34,"=0.7")&gt;=1),"Selected minimum set-aside does not permit units above 60%","")</f>
        <v/>
      </c>
      <c r="L65" s="188" t="s">
        <v>5093</v>
      </c>
      <c r="M65" s="17">
        <f>SUMIFS('Budget &amp; Costs'!C9:C34,'Budget &amp; Costs'!D9:D34,0,'Budget &amp; Costs'!G9:G34,0.2)</f>
        <v>0</v>
      </c>
      <c r="N65" s="17">
        <f>SUMIFS('Budget &amp; Costs'!C9:C34,'Budget &amp; Costs'!D9:D34,1,'Budget &amp; Costs'!G9:G34,0.2)</f>
        <v>0</v>
      </c>
      <c r="O65" s="17">
        <f>SUMIFS('Budget &amp; Costs'!C9:C34,'Budget &amp; Costs'!D9:D34,2,'Budget &amp; Costs'!G9:G34,0.2)</f>
        <v>0</v>
      </c>
      <c r="P65" s="17">
        <f>SUMIFS('Budget &amp; Costs'!C9:C34,'Budget &amp; Costs'!D9:D34,3,'Budget &amp; Costs'!G9:G34,0.2)</f>
        <v>0</v>
      </c>
      <c r="Q65" s="17">
        <f>SUMIFS('Budget &amp; Costs'!C9:C34,'Budget &amp; Costs'!D9:D34,"&gt;3",'Budget &amp; Costs'!G9:G34,0.2)</f>
        <v>0</v>
      </c>
    </row>
    <row r="66" spans="3:18" x14ac:dyDescent="0.2">
      <c r="C66" s="471" t="s">
        <v>4832</v>
      </c>
      <c r="D66" s="591">
        <f>SUMIF(G9:G34,"&lt;=.6",C9:C34)-D67-D68-D69-D70</f>
        <v>0</v>
      </c>
      <c r="E66" s="594">
        <f>IFERROR(D66/(D49-D51),0)</f>
        <v>0</v>
      </c>
      <c r="F66" s="594">
        <f>IFERROR(D66/D50,0)</f>
        <v>0</v>
      </c>
      <c r="L66" s="188" t="s">
        <v>3184</v>
      </c>
      <c r="M66" s="17">
        <f>SUMIFS('Budget &amp; Costs'!C9:C34,'Budget &amp; Costs'!D9:D34,0,'Budget &amp; Costs'!G9:G34,0.3)</f>
        <v>0</v>
      </c>
      <c r="N66" s="17">
        <f>SUMIFS('Budget &amp; Costs'!C9:C34,'Budget &amp; Costs'!D9:D34,1,'Budget &amp; Costs'!G9:G34,0.3)</f>
        <v>0</v>
      </c>
      <c r="O66" s="17">
        <f>SUMIFS('Budget &amp; Costs'!C9:C34,'Budget &amp; Costs'!D9:D34,2,'Budget &amp; Costs'!G9:G34,0.3)</f>
        <v>0</v>
      </c>
      <c r="P66" s="17">
        <f>SUMIFS('Budget &amp; Costs'!C9:C34,'Budget &amp; Costs'!D9:D34,3,'Budget &amp; Costs'!G9:G34,0.3)</f>
        <v>0</v>
      </c>
      <c r="Q66" s="17">
        <f>SUMIFS('Budget &amp; Costs'!C9:C34,'Budget &amp; Costs'!D9:D34,"&gt;3",'Budget &amp; Costs'!G9:G34,0.3)</f>
        <v>0</v>
      </c>
    </row>
    <row r="67" spans="3:18" x14ac:dyDescent="0.2">
      <c r="C67" s="471" t="s">
        <v>4831</v>
      </c>
      <c r="D67" s="591">
        <f>SUMIF(G9:G34,"&lt;=.5",C9:C34)-D68-D69-D70</f>
        <v>0</v>
      </c>
      <c r="E67" s="594">
        <f>IFERROR(D67/(D49-D51),0)</f>
        <v>0</v>
      </c>
      <c r="F67" s="594">
        <f>IFERROR(D67/D50,0)</f>
        <v>0</v>
      </c>
      <c r="G67" s="191"/>
      <c r="L67" s="188" t="s">
        <v>3185</v>
      </c>
      <c r="M67" s="17">
        <f>SUMIFS('Budget &amp; Costs'!C9:C34,'Budget &amp; Costs'!D9:D34,0,'Budget &amp; Costs'!G9:G34,0.35)</f>
        <v>0</v>
      </c>
      <c r="N67" s="17">
        <f>SUMIFS('Budget &amp; Costs'!C9:C34,'Budget &amp; Costs'!D9:D34,1,'Budget &amp; Costs'!G9:G34,0.35)</f>
        <v>0</v>
      </c>
      <c r="O67" s="17">
        <f>SUMIFS('Budget &amp; Costs'!C9:C34,'Budget &amp; Costs'!D9:D34,2,'Budget &amp; Costs'!G9:G34,0.35)</f>
        <v>0</v>
      </c>
      <c r="P67" s="17">
        <f>SUMIFS('Budget &amp; Costs'!C9:C34,'Budget &amp; Costs'!D9:D34,3,'Budget &amp; Costs'!G9:G34,0.35)</f>
        <v>0</v>
      </c>
      <c r="Q67" s="17">
        <f>SUMIFS('Budget &amp; Costs'!C9:C34,'Budget &amp; Costs'!D9:D34,"&gt;3",'Budget &amp; Costs'!G9:G34,0.35)</f>
        <v>0</v>
      </c>
    </row>
    <row r="68" spans="3:18" ht="14.25" customHeight="1" x14ac:dyDescent="0.2">
      <c r="C68" s="471" t="s">
        <v>4830</v>
      </c>
      <c r="D68" s="591">
        <f>SUMIF(G9:G34,"&lt;=.4",C9:C34)-D69-D70</f>
        <v>0</v>
      </c>
      <c r="E68" s="594">
        <f>IFERROR(D68/(D49-D51),0)</f>
        <v>0</v>
      </c>
      <c r="F68" s="594">
        <f>IFERROR(D68/D50,0)</f>
        <v>0</v>
      </c>
      <c r="G68" s="191"/>
      <c r="L68" s="188" t="s">
        <v>5094</v>
      </c>
      <c r="M68" s="17">
        <f>SUMIFS('Budget &amp; Costs'!C9:C34,'Budget &amp; Costs'!D9:D34,0,'Budget &amp; Costs'!G9:G34,0.4)</f>
        <v>0</v>
      </c>
      <c r="N68" s="17">
        <f>SUMIFS('Budget &amp; Costs'!C9:C34,'Budget &amp; Costs'!D9:D34,1,'Budget &amp; Costs'!G9:G34,0.4)</f>
        <v>0</v>
      </c>
      <c r="O68" s="17">
        <f>SUMIFS('Budget &amp; Costs'!C9:C34,'Budget &amp; Costs'!D9:D34,2,'Budget &amp; Costs'!G9:G34,0.4)</f>
        <v>0</v>
      </c>
      <c r="P68" s="17">
        <f>SUMIFS('Budget &amp; Costs'!C9:C34,'Budget &amp; Costs'!D9:D34,3,'Budget &amp; Costs'!G9:G34,0.4)</f>
        <v>0</v>
      </c>
      <c r="Q68" s="17">
        <f>SUMIFS('Budget &amp; Costs'!C9:C34,'Budget &amp; Costs'!D9:D34,"&gt;3",'Budget &amp; Costs'!G9:G34,0.4)</f>
        <v>0</v>
      </c>
    </row>
    <row r="69" spans="3:18" ht="14.25" customHeight="1" x14ac:dyDescent="0.2">
      <c r="C69" s="471" t="s">
        <v>4829</v>
      </c>
      <c r="D69" s="591">
        <f>SUMIF(G9:G34,"&lt;=.3",C9:C34)-D70</f>
        <v>0</v>
      </c>
      <c r="E69" s="594">
        <f>IFERROR(D69/(D49-D51),0)</f>
        <v>0</v>
      </c>
      <c r="F69" s="594">
        <f>IFERROR(D69/D50,0)</f>
        <v>0</v>
      </c>
      <c r="G69" s="191"/>
      <c r="L69" s="188" t="s">
        <v>3186</v>
      </c>
      <c r="M69" s="17">
        <f>SUMIFS('Budget &amp; Costs'!C9:C34,'Budget &amp; Costs'!D9:D34,0,'Budget &amp; Costs'!G9:G34,0.5)</f>
        <v>0</v>
      </c>
      <c r="N69" s="17">
        <f>SUMIFS('Budget &amp; Costs'!C9:C34,'Budget &amp; Costs'!D9:D34,1,'Budget &amp; Costs'!G9:G34,0.5)</f>
        <v>0</v>
      </c>
      <c r="O69" s="17">
        <f>SUMIFS('Budget &amp; Costs'!C9:C34,'Budget &amp; Costs'!D9:D34,2,'Budget &amp; Costs'!G9:G34,0.5)</f>
        <v>0</v>
      </c>
      <c r="P69" s="17">
        <f>SUMIFS('Budget &amp; Costs'!C9:C34,'Budget &amp; Costs'!D9:D34,3,'Budget &amp; Costs'!G9:G34,0.5)</f>
        <v>0</v>
      </c>
      <c r="Q69" s="17">
        <f>SUMIFS('Budget &amp; Costs'!C9:C34,'Budget &amp; Costs'!D9:D34,"&gt;3",'Budget &amp; Costs'!G9:G34,0.5)</f>
        <v>0</v>
      </c>
    </row>
    <row r="70" spans="3:18" ht="14.25" customHeight="1" x14ac:dyDescent="0.2">
      <c r="C70" s="471" t="s">
        <v>4835</v>
      </c>
      <c r="D70" s="591">
        <f>SUMIF(G9:G34,"&lt;=.2",C9:C34)</f>
        <v>0</v>
      </c>
      <c r="E70" s="594">
        <f>IFERROR(D70/(D49-D51),0)</f>
        <v>0</v>
      </c>
      <c r="F70" s="594">
        <f>IFERROR(D70/D50,0)</f>
        <v>0</v>
      </c>
      <c r="L70" s="188" t="s">
        <v>3187</v>
      </c>
      <c r="M70" s="17">
        <f>SUMIFS('Budget &amp; Costs'!C9:C34,'Budget &amp; Costs'!D9:D34,0,'Budget &amp; Costs'!G9:G34,0.6)</f>
        <v>0</v>
      </c>
      <c r="N70" s="17">
        <f>SUMIFS('Budget &amp; Costs'!C9:C34,'Budget &amp; Costs'!D9:D34,1,'Budget &amp; Costs'!G9:G34,0.6)</f>
        <v>0</v>
      </c>
      <c r="O70" s="17">
        <f>SUMIFS('Budget &amp; Costs'!C9:C34,'Budget &amp; Costs'!D9:D34,2,'Budget &amp; Costs'!G9:G34,0.6)</f>
        <v>0</v>
      </c>
      <c r="P70" s="17">
        <f>SUMIFS('Budget &amp; Costs'!C9:C34,'Budget &amp; Costs'!D9:D34,3,'Budget &amp; Costs'!G9:G34,0.6)</f>
        <v>0</v>
      </c>
      <c r="Q70" s="17">
        <f>SUMIFS('Budget &amp; Costs'!C9:C34,'Budget &amp; Costs'!D9:D34,"&gt;3",'Budget &amp; Costs'!G9:G34,0.6)</f>
        <v>0</v>
      </c>
    </row>
    <row r="71" spans="3:18" ht="15" customHeight="1" x14ac:dyDescent="0.2">
      <c r="C71" s="53"/>
      <c r="D71" s="191"/>
      <c r="F71" s="191"/>
      <c r="G71" s="191"/>
      <c r="L71" s="188" t="s">
        <v>5095</v>
      </c>
      <c r="M71" s="17">
        <f>SUMIFS('Budget &amp; Costs'!C9:C34,'Budget &amp; Costs'!D9:D34,0,'Budget &amp; Costs'!G9:G34,0.7)</f>
        <v>0</v>
      </c>
      <c r="N71" s="17">
        <f>SUMIFS('Budget &amp; Costs'!C9:C34,'Budget &amp; Costs'!D9:D34,1,'Budget &amp; Costs'!G9:G34,0.7)</f>
        <v>0</v>
      </c>
      <c r="O71" s="17">
        <f>SUMIFS('Budget &amp; Costs'!C9:C34,'Budget &amp; Costs'!D9:D34,2,'Budget &amp; Costs'!G9:G34,0.7)</f>
        <v>0</v>
      </c>
      <c r="P71" s="17">
        <f>SUMIFS('Budget &amp; Costs'!C9:C34,'Budget &amp; Costs'!D9:D34,3,'Budget &amp; Costs'!G9:G34,0.7)</f>
        <v>0</v>
      </c>
      <c r="Q71" s="17">
        <f>SUMIFS('Budget &amp; Costs'!C9:C34,'Budget &amp; Costs'!D9:D34,"&gt;3",'Budget &amp; Costs'!G9:G34,0.7)</f>
        <v>0</v>
      </c>
    </row>
    <row r="72" spans="3:18" ht="15" customHeight="1" x14ac:dyDescent="0.2">
      <c r="C72" s="590" t="s">
        <v>5110</v>
      </c>
      <c r="D72" s="471"/>
      <c r="F72" s="471"/>
      <c r="G72" s="191"/>
      <c r="L72" s="188" t="s">
        <v>5096</v>
      </c>
      <c r="M72" s="17">
        <f>SUMIFS('Budget &amp; Costs'!C9:C34,'Budget &amp; Costs'!D9:D34,0,'Budget &amp; Costs'!G9:G34,0.8)</f>
        <v>0</v>
      </c>
      <c r="N72" s="17">
        <f>SUMIFS('Budget &amp; Costs'!C9:C34,'Budget &amp; Costs'!D9:D34,1,'Budget &amp; Costs'!G9:G34,0.8)</f>
        <v>0</v>
      </c>
      <c r="O72" s="17">
        <f>SUMIFS('Budget &amp; Costs'!C9:C34,'Budget &amp; Costs'!D9:D34,2,'Budget &amp; Costs'!G9:G34,0.8)</f>
        <v>0</v>
      </c>
      <c r="P72" s="17">
        <f>SUMIFS('Budget &amp; Costs'!C9:C34,'Budget &amp; Costs'!D9:D34,3,'Budget &amp; Costs'!G9:G34,0.8)</f>
        <v>0</v>
      </c>
      <c r="Q72" s="17">
        <f>SUMIFS('Budget &amp; Costs'!C9:C34,'Budget &amp; Costs'!D9:D34,"&gt;3",'Budget &amp; Costs'!G9:G34,0.8)</f>
        <v>0</v>
      </c>
    </row>
    <row r="73" spans="3:18" ht="15" customHeight="1" x14ac:dyDescent="0.25">
      <c r="C73" s="471" t="s">
        <v>4834</v>
      </c>
      <c r="D73" s="722">
        <f>SUMIF(H9:H34,"&lt;=.8",C9:C34)-D74-D75-D76-D77-D78-D79</f>
        <v>0</v>
      </c>
      <c r="E73" s="595">
        <f>IFERROR(D73/(D49-D51),0)</f>
        <v>0</v>
      </c>
      <c r="F73" s="595">
        <f>IFERROR(D73/D50,0)</f>
        <v>0</v>
      </c>
      <c r="G73" s="886" t="str">
        <f>IF(AND('Housing Credits'!C69&lt;&gt;"Average Income",COUNTIF(H9:H34,"=0.8")&gt;=1),"Selected minimum set-aside does not permit units above 60%","")</f>
        <v/>
      </c>
      <c r="L73" s="13" t="s">
        <v>3105</v>
      </c>
      <c r="M73" s="16">
        <f>SUM(M65:M72)</f>
        <v>0</v>
      </c>
      <c r="N73" s="16">
        <f>SUM(N65:N72)</f>
        <v>0</v>
      </c>
      <c r="O73" s="16">
        <f>SUM(O65:O72)</f>
        <v>0</v>
      </c>
      <c r="P73" s="16">
        <f>SUM(P65:P72)</f>
        <v>0</v>
      </c>
      <c r="Q73" s="16">
        <f>SUM(Q65:Q72)</f>
        <v>0</v>
      </c>
      <c r="R73" s="16">
        <f>SUM(M73:Q73)</f>
        <v>0</v>
      </c>
    </row>
    <row r="74" spans="3:18" ht="15" customHeight="1" x14ac:dyDescent="0.2">
      <c r="C74" s="471" t="s">
        <v>4833</v>
      </c>
      <c r="D74" s="722">
        <f>SUMIF(H9:H34,"&lt;=.7",C9:C34)-D75-D76-D77-D78-D79</f>
        <v>0</v>
      </c>
      <c r="E74" s="595">
        <f>IFERROR(D74/(D49-D51),0)</f>
        <v>0</v>
      </c>
      <c r="F74" s="595">
        <f>IFERROR(D74/D50,0)</f>
        <v>0</v>
      </c>
      <c r="G74" s="886" t="str">
        <f>IF(AND('Housing Credits'!C69&lt;&gt;"Average Income",COUNTIF(H9:H34,"=0.7")&gt;=1),"Selected minimum set-aside does not permit units above 60%","")</f>
        <v/>
      </c>
      <c r="Q74" s="408"/>
    </row>
    <row r="75" spans="3:18" ht="15" customHeight="1" x14ac:dyDescent="0.2">
      <c r="C75" s="471" t="s">
        <v>4832</v>
      </c>
      <c r="D75" s="722">
        <f>SUMIF(H9:H34,"&lt;=.6",C9:C34)-D76-D77-D78-D79</f>
        <v>0</v>
      </c>
      <c r="E75" s="595">
        <f>IFERROR(D75/(D49-D51),0)</f>
        <v>0</v>
      </c>
      <c r="F75" s="595">
        <f>IFERROR(D75/D50,0)</f>
        <v>0</v>
      </c>
      <c r="G75" s="191"/>
      <c r="K75" s="624"/>
      <c r="Q75" s="408"/>
    </row>
    <row r="76" spans="3:18" ht="15" customHeight="1" x14ac:dyDescent="0.2">
      <c r="C76" s="471" t="s">
        <v>4831</v>
      </c>
      <c r="D76" s="722">
        <f>SUMIF(H9:H34,"&lt;=.5",C9:C34)-D77-D78-D79</f>
        <v>0</v>
      </c>
      <c r="E76" s="595">
        <f>IFERROR(D76/(D49-D51),0)</f>
        <v>0</v>
      </c>
      <c r="F76" s="595">
        <f>IFERROR(D76/D50,0)</f>
        <v>0</v>
      </c>
      <c r="G76" s="191"/>
      <c r="K76" s="624"/>
      <c r="Q76" s="408"/>
    </row>
    <row r="77" spans="3:18" ht="15" customHeight="1" x14ac:dyDescent="0.2">
      <c r="C77" s="471" t="s">
        <v>4830</v>
      </c>
      <c r="D77" s="722">
        <f>SUMIF(H9:H34,"&lt;=.4",C9:C34)-D78-D79</f>
        <v>0</v>
      </c>
      <c r="E77" s="595">
        <f>IFERROR(D77/(D49-D51),0)</f>
        <v>0</v>
      </c>
      <c r="F77" s="595">
        <f>IFERROR(D77/D50,0)</f>
        <v>0</v>
      </c>
      <c r="G77" s="191"/>
      <c r="K77" s="624"/>
      <c r="Q77" s="408"/>
    </row>
    <row r="78" spans="3:18" ht="15" customHeight="1" x14ac:dyDescent="0.2">
      <c r="C78" s="471" t="s">
        <v>4829</v>
      </c>
      <c r="D78" s="722">
        <f>SUMIF(H9:H34,"&lt;=.3",C9:C34)-D79</f>
        <v>0</v>
      </c>
      <c r="E78" s="595">
        <f>IFERROR(D78/(D49-D51),0)</f>
        <v>0</v>
      </c>
      <c r="F78" s="595">
        <f>IFERROR(D78/D50,0)</f>
        <v>0</v>
      </c>
      <c r="G78" s="191"/>
      <c r="K78" s="624"/>
      <c r="Q78" s="408"/>
    </row>
    <row r="79" spans="3:18" ht="15" customHeight="1" x14ac:dyDescent="0.2">
      <c r="C79" s="471" t="s">
        <v>4835</v>
      </c>
      <c r="D79" s="721">
        <f>SUMIF(H9:H34,"&lt;=.2",C9:C34)</f>
        <v>0</v>
      </c>
      <c r="E79" s="595">
        <f>IFERROR(D79/(D49-D51),0)</f>
        <v>0</v>
      </c>
      <c r="F79" s="595">
        <f>IFERROR(D79/D50,0)</f>
        <v>0</v>
      </c>
      <c r="G79" s="191"/>
      <c r="K79" s="624"/>
      <c r="Q79" s="408"/>
    </row>
    <row r="80" spans="3:18" ht="14.25" customHeight="1" x14ac:dyDescent="0.2">
      <c r="C80" s="191"/>
      <c r="D80" s="191"/>
      <c r="E80" s="191"/>
      <c r="F80" s="191"/>
      <c r="G80" s="191"/>
      <c r="J80" s="500"/>
      <c r="K80" s="500"/>
    </row>
    <row r="81" spans="1:18" s="197" customFormat="1" ht="24.95" customHeight="1" x14ac:dyDescent="0.2">
      <c r="A81" s="739" t="s">
        <v>3229</v>
      </c>
      <c r="B81" s="187"/>
      <c r="C81" s="745"/>
      <c r="D81" s="187"/>
      <c r="E81" s="187"/>
      <c r="F81" s="187"/>
      <c r="G81" s="187"/>
      <c r="H81" s="187"/>
      <c r="I81" s="745"/>
      <c r="J81" s="745"/>
      <c r="K81" s="745"/>
      <c r="L81" s="745"/>
      <c r="M81" s="745"/>
      <c r="N81" s="187"/>
      <c r="O81" s="187"/>
    </row>
    <row r="82" spans="1:18" ht="14.25" customHeight="1" x14ac:dyDescent="0.25">
      <c r="A82" s="6"/>
      <c r="C82" s="1129" t="s">
        <v>3218</v>
      </c>
      <c r="D82" s="1130"/>
      <c r="E82" s="36">
        <v>7.0000000000000007E-2</v>
      </c>
      <c r="P82" s="191"/>
      <c r="Q82" s="191"/>
      <c r="R82" s="191"/>
    </row>
    <row r="83" spans="1:18" ht="14.25" customHeight="1" x14ac:dyDescent="0.25">
      <c r="A83" s="6"/>
      <c r="C83" s="1129" t="s">
        <v>3219</v>
      </c>
      <c r="D83" s="1130"/>
      <c r="E83" s="141"/>
      <c r="P83" s="191"/>
      <c r="Q83" s="191"/>
      <c r="R83" s="191"/>
    </row>
    <row r="84" spans="1:18" ht="14.25" customHeight="1" x14ac:dyDescent="0.25">
      <c r="A84" s="6"/>
      <c r="C84" s="19"/>
      <c r="D84" s="19"/>
      <c r="P84" s="191"/>
      <c r="Q84" s="191"/>
      <c r="R84" s="191"/>
    </row>
    <row r="85" spans="1:18" s="197" customFormat="1" ht="24.95" customHeight="1" x14ac:dyDescent="0.2">
      <c r="A85" s="739" t="s">
        <v>3229</v>
      </c>
      <c r="B85" s="744"/>
      <c r="C85" s="187"/>
      <c r="D85" s="187"/>
      <c r="E85" s="187"/>
      <c r="F85" s="187"/>
      <c r="G85" s="187"/>
      <c r="H85" s="187"/>
      <c r="I85" s="187"/>
      <c r="J85" s="187"/>
      <c r="K85" s="187"/>
      <c r="L85" s="187"/>
      <c r="M85" s="187"/>
      <c r="N85" s="187"/>
      <c r="O85" s="187"/>
    </row>
    <row r="86" spans="1:18" ht="14.25" customHeight="1" x14ac:dyDescent="0.2">
      <c r="C86" s="53" t="s">
        <v>3221</v>
      </c>
      <c r="F86" s="31">
        <f>C45</f>
        <v>0</v>
      </c>
      <c r="P86" s="191"/>
      <c r="Q86" s="191"/>
      <c r="R86" s="191"/>
    </row>
    <row r="87" spans="1:18" ht="14.25" customHeight="1" x14ac:dyDescent="0.2">
      <c r="C87" s="53" t="s">
        <v>3170</v>
      </c>
      <c r="F87" s="140">
        <f>'Project Details'!C258</f>
        <v>0</v>
      </c>
      <c r="P87" s="191"/>
      <c r="Q87" s="191"/>
      <c r="R87" s="191"/>
    </row>
    <row r="88" spans="1:18" ht="14.25" customHeight="1" x14ac:dyDescent="0.2">
      <c r="P88" s="191"/>
      <c r="Q88" s="191"/>
      <c r="R88" s="191"/>
    </row>
    <row r="89" spans="1:18" ht="15.75" customHeight="1" x14ac:dyDescent="0.25">
      <c r="F89" s="16" t="s">
        <v>3107</v>
      </c>
      <c r="G89" s="16" t="s">
        <v>3687</v>
      </c>
      <c r="P89" s="191"/>
      <c r="Q89" s="191"/>
      <c r="R89" s="191"/>
    </row>
    <row r="90" spans="1:18" x14ac:dyDescent="0.2">
      <c r="B90" s="1133" t="s">
        <v>3224</v>
      </c>
      <c r="C90" s="5" t="s">
        <v>4044</v>
      </c>
      <c r="F90" s="432">
        <f>P45*12</f>
        <v>0</v>
      </c>
      <c r="G90" s="432" t="e">
        <f t="shared" ref="G90:G95" si="4">F90/$F$86</f>
        <v>#DIV/0!</v>
      </c>
      <c r="P90" s="191"/>
      <c r="Q90" s="191"/>
      <c r="R90" s="191"/>
    </row>
    <row r="91" spans="1:18" ht="14.25" customHeight="1" x14ac:dyDescent="0.2">
      <c r="B91" s="1133"/>
      <c r="C91" s="5" t="s">
        <v>3240</v>
      </c>
      <c r="F91" s="428">
        <v>0</v>
      </c>
      <c r="G91" s="432" t="e">
        <f t="shared" si="4"/>
        <v>#DIV/0!</v>
      </c>
      <c r="I91" s="44"/>
      <c r="P91" s="191"/>
      <c r="Q91" s="191"/>
      <c r="R91" s="191"/>
    </row>
    <row r="92" spans="1:18" x14ac:dyDescent="0.2">
      <c r="B92" s="1133"/>
      <c r="C92" s="5" t="s">
        <v>3241</v>
      </c>
      <c r="F92" s="428">
        <v>0</v>
      </c>
      <c r="G92" s="432" t="e">
        <f t="shared" si="4"/>
        <v>#DIV/0!</v>
      </c>
      <c r="H92" s="45" t="s">
        <v>3239</v>
      </c>
      <c r="I92" s="200"/>
      <c r="P92" s="191"/>
      <c r="Q92" s="191"/>
      <c r="R92" s="191"/>
    </row>
    <row r="93" spans="1:18" x14ac:dyDescent="0.2">
      <c r="B93" s="1133"/>
      <c r="C93" s="5" t="s">
        <v>3242</v>
      </c>
      <c r="F93" s="428">
        <v>0</v>
      </c>
      <c r="G93" s="432" t="e">
        <f t="shared" si="4"/>
        <v>#DIV/0!</v>
      </c>
      <c r="H93" s="45" t="s">
        <v>3239</v>
      </c>
      <c r="I93" s="200"/>
      <c r="P93" s="191"/>
      <c r="Q93" s="191"/>
      <c r="R93" s="191"/>
    </row>
    <row r="94" spans="1:18" x14ac:dyDescent="0.2">
      <c r="B94" s="1133"/>
      <c r="C94" s="5" t="s">
        <v>3230</v>
      </c>
      <c r="F94" s="428">
        <v>0</v>
      </c>
      <c r="G94" s="432" t="e">
        <f t="shared" si="4"/>
        <v>#DIV/0!</v>
      </c>
      <c r="H94" s="37" t="str">
        <f>IF(F94&gt;0,"'Other' Detail","")</f>
        <v/>
      </c>
      <c r="I94" s="349"/>
      <c r="P94" s="191"/>
      <c r="Q94" s="191"/>
      <c r="R94" s="191"/>
    </row>
    <row r="95" spans="1:18" x14ac:dyDescent="0.2">
      <c r="B95" s="1133"/>
      <c r="C95" s="5" t="s">
        <v>3222</v>
      </c>
      <c r="F95" s="432">
        <f>-((E82*(F91+F92+F90)))</f>
        <v>0</v>
      </c>
      <c r="G95" s="432" t="e">
        <f t="shared" si="4"/>
        <v>#DIV/0!</v>
      </c>
      <c r="H95" s="37"/>
      <c r="P95" s="191"/>
      <c r="Q95" s="191"/>
      <c r="R95" s="191"/>
    </row>
    <row r="96" spans="1:18" ht="15" x14ac:dyDescent="0.25">
      <c r="B96" s="1133"/>
      <c r="E96" s="40" t="s">
        <v>3223</v>
      </c>
      <c r="F96" s="453">
        <f>SUM(F90:F95)</f>
        <v>0</v>
      </c>
      <c r="G96" s="453" t="e">
        <f>SUM(G90:G95)</f>
        <v>#DIV/0!</v>
      </c>
      <c r="H96" s="37"/>
      <c r="I96" s="44"/>
      <c r="P96" s="191"/>
      <c r="Q96" s="191"/>
      <c r="R96" s="191"/>
    </row>
    <row r="97" spans="2:18" x14ac:dyDescent="0.2">
      <c r="F97" s="454"/>
      <c r="G97" s="454"/>
      <c r="H97" s="37"/>
      <c r="I97" s="44"/>
      <c r="P97" s="191"/>
      <c r="Q97" s="191"/>
      <c r="R97" s="191"/>
    </row>
    <row r="98" spans="2:18" ht="14.25" customHeight="1" x14ac:dyDescent="0.2">
      <c r="B98" s="1126" t="s">
        <v>3228</v>
      </c>
      <c r="C98" s="5" t="s">
        <v>3225</v>
      </c>
      <c r="F98" s="428"/>
      <c r="G98" s="432" t="e">
        <f>F98/$C$45</f>
        <v>#DIV/0!</v>
      </c>
      <c r="H98" s="37"/>
      <c r="I98" s="44"/>
      <c r="P98" s="191"/>
      <c r="Q98" s="191"/>
      <c r="R98" s="191"/>
    </row>
    <row r="99" spans="2:18" x14ac:dyDescent="0.2">
      <c r="B99" s="1127"/>
      <c r="C99" s="5" t="s">
        <v>3226</v>
      </c>
      <c r="F99" s="428">
        <v>0</v>
      </c>
      <c r="G99" s="432" t="e">
        <f>F99/$C$45</f>
        <v>#DIV/0!</v>
      </c>
      <c r="H99" s="37"/>
      <c r="I99" s="44"/>
      <c r="P99" s="191"/>
      <c r="Q99" s="191"/>
      <c r="R99" s="191"/>
    </row>
    <row r="100" spans="2:18" x14ac:dyDescent="0.2">
      <c r="B100" s="1127"/>
      <c r="C100" s="5" t="s">
        <v>3231</v>
      </c>
      <c r="F100" s="428">
        <v>0</v>
      </c>
      <c r="G100" s="432" t="e">
        <f>F100/$C$45</f>
        <v>#DIV/0!</v>
      </c>
      <c r="H100" s="37" t="str">
        <f>IF(F100&gt;0,"'Other' Detail","")</f>
        <v/>
      </c>
      <c r="I100" s="349"/>
      <c r="P100" s="191"/>
      <c r="Q100" s="191"/>
      <c r="R100" s="191"/>
    </row>
    <row r="101" spans="2:18" ht="15" x14ac:dyDescent="0.25">
      <c r="B101" s="1128"/>
      <c r="E101" s="40" t="s">
        <v>3227</v>
      </c>
      <c r="F101" s="453">
        <f>SUM(F98:F100)</f>
        <v>0</v>
      </c>
      <c r="G101" s="453" t="e">
        <f>SUM(G98:G100)</f>
        <v>#DIV/0!</v>
      </c>
      <c r="H101" s="37"/>
      <c r="P101" s="191"/>
      <c r="Q101" s="191"/>
      <c r="R101" s="191"/>
    </row>
    <row r="102" spans="2:18" x14ac:dyDescent="0.2">
      <c r="F102" s="454"/>
      <c r="G102" s="454"/>
      <c r="H102" s="37"/>
      <c r="I102" s="44"/>
      <c r="P102" s="191"/>
      <c r="Q102" s="191"/>
      <c r="R102" s="191"/>
    </row>
    <row r="103" spans="2:18" ht="14.25" customHeight="1" x14ac:dyDescent="0.2">
      <c r="B103" s="1126" t="s">
        <v>3258</v>
      </c>
      <c r="C103" s="5" t="s">
        <v>3232</v>
      </c>
      <c r="F103" s="428">
        <v>0</v>
      </c>
      <c r="G103" s="432" t="e">
        <f t="shared" ref="G103:G108" si="5">F103/$C$45</f>
        <v>#DIV/0!</v>
      </c>
      <c r="H103" s="37"/>
      <c r="I103" s="44"/>
      <c r="P103" s="191"/>
      <c r="Q103" s="191"/>
      <c r="R103" s="191"/>
    </row>
    <row r="104" spans="2:18" ht="14.25" customHeight="1" x14ac:dyDescent="0.2">
      <c r="B104" s="1127"/>
      <c r="C104" s="5" t="s">
        <v>3233</v>
      </c>
      <c r="F104" s="428">
        <v>0</v>
      </c>
      <c r="G104" s="432" t="e">
        <f t="shared" si="5"/>
        <v>#DIV/0!</v>
      </c>
      <c r="H104" s="37"/>
      <c r="I104" s="44"/>
      <c r="P104" s="191"/>
      <c r="Q104" s="191"/>
      <c r="R104" s="191"/>
    </row>
    <row r="105" spans="2:18" x14ac:dyDescent="0.2">
      <c r="B105" s="1127"/>
      <c r="C105" s="5" t="s">
        <v>3234</v>
      </c>
      <c r="F105" s="428">
        <v>0</v>
      </c>
      <c r="G105" s="432" t="e">
        <f t="shared" si="5"/>
        <v>#DIV/0!</v>
      </c>
      <c r="H105" s="37"/>
    </row>
    <row r="106" spans="2:18" x14ac:dyDescent="0.2">
      <c r="B106" s="1127"/>
      <c r="C106" s="5" t="s">
        <v>3235</v>
      </c>
      <c r="F106" s="428">
        <v>0</v>
      </c>
      <c r="G106" s="432" t="e">
        <f t="shared" si="5"/>
        <v>#DIV/0!</v>
      </c>
      <c r="H106" s="37" t="str">
        <f>IF(F106&gt;0,"'Other' Detail","")</f>
        <v/>
      </c>
      <c r="I106" s="349"/>
    </row>
    <row r="107" spans="2:18" x14ac:dyDescent="0.2">
      <c r="B107" s="1127"/>
      <c r="C107" s="5" t="s">
        <v>3236</v>
      </c>
      <c r="F107" s="428">
        <v>0</v>
      </c>
      <c r="G107" s="432" t="e">
        <f t="shared" si="5"/>
        <v>#DIV/0!</v>
      </c>
      <c r="H107" s="37" t="str">
        <f>IF(F107&gt;0,"'Other Detail'","")</f>
        <v/>
      </c>
      <c r="I107" s="349"/>
    </row>
    <row r="108" spans="2:18" x14ac:dyDescent="0.2">
      <c r="B108" s="1127"/>
      <c r="C108" s="5" t="s">
        <v>3237</v>
      </c>
      <c r="F108" s="428">
        <v>0</v>
      </c>
      <c r="G108" s="432" t="e">
        <f t="shared" si="5"/>
        <v>#DIV/0!</v>
      </c>
      <c r="H108" s="37" t="str">
        <f>IF(F108&gt;0,"'Other Detail'","")</f>
        <v/>
      </c>
      <c r="I108" s="349"/>
    </row>
    <row r="109" spans="2:18" ht="15" x14ac:dyDescent="0.25">
      <c r="B109" s="1128"/>
      <c r="E109" s="40" t="s">
        <v>3238</v>
      </c>
      <c r="F109" s="453">
        <f>SUM(F103:F108)</f>
        <v>0</v>
      </c>
      <c r="G109" s="453" t="e">
        <f>SUM(G103:G108)</f>
        <v>#DIV/0!</v>
      </c>
      <c r="H109" s="37"/>
    </row>
    <row r="110" spans="2:18" x14ac:dyDescent="0.2">
      <c r="F110" s="454"/>
      <c r="G110" s="454"/>
      <c r="H110" s="37"/>
      <c r="I110" s="44"/>
    </row>
    <row r="111" spans="2:18" ht="15" x14ac:dyDescent="0.25">
      <c r="E111" s="40" t="s">
        <v>3243</v>
      </c>
      <c r="F111" s="453">
        <f>F109+F101+F96</f>
        <v>0</v>
      </c>
      <c r="G111" s="453" t="e">
        <f>G109+G101+G96</f>
        <v>#DIV/0!</v>
      </c>
      <c r="H111" s="37"/>
      <c r="I111" s="44"/>
    </row>
    <row r="112" spans="2:18" x14ac:dyDescent="0.2">
      <c r="F112" s="454"/>
      <c r="G112" s="454"/>
      <c r="H112" s="37"/>
      <c r="I112" s="44"/>
    </row>
    <row r="113" spans="1:18" s="197" customFormat="1" ht="24.95" customHeight="1" x14ac:dyDescent="0.2">
      <c r="A113" s="740" t="s">
        <v>3244</v>
      </c>
      <c r="B113" s="187"/>
      <c r="C113" s="187"/>
      <c r="D113" s="187"/>
      <c r="E113" s="187"/>
      <c r="F113" s="741"/>
      <c r="G113" s="741"/>
      <c r="H113" s="742"/>
      <c r="I113" s="743"/>
      <c r="J113" s="187"/>
      <c r="K113" s="187"/>
      <c r="L113" s="187"/>
      <c r="M113" s="187"/>
      <c r="N113" s="187"/>
      <c r="O113" s="187"/>
      <c r="P113" s="187"/>
      <c r="Q113" s="187"/>
      <c r="R113" s="187"/>
    </row>
    <row r="114" spans="1:18" ht="15" x14ac:dyDescent="0.25">
      <c r="F114" s="455" t="s">
        <v>3107</v>
      </c>
      <c r="G114" s="455" t="s">
        <v>3687</v>
      </c>
      <c r="H114" s="37"/>
      <c r="I114" s="44"/>
    </row>
    <row r="115" spans="1:18" ht="14.25" customHeight="1" x14ac:dyDescent="0.2">
      <c r="B115" s="1132" t="s">
        <v>3257</v>
      </c>
      <c r="C115" s="5" t="s">
        <v>3245</v>
      </c>
      <c r="F115" s="428">
        <v>0</v>
      </c>
      <c r="G115" s="432" t="e">
        <f t="shared" ref="G115:G129" si="6">F115/$C$45</f>
        <v>#DIV/0!</v>
      </c>
      <c r="H115" s="37"/>
      <c r="I115" s="44"/>
    </row>
    <row r="116" spans="1:18" x14ac:dyDescent="0.2">
      <c r="B116" s="1132"/>
      <c r="C116" s="5" t="s">
        <v>3246</v>
      </c>
      <c r="F116" s="428">
        <v>0</v>
      </c>
      <c r="G116" s="432" t="e">
        <f t="shared" si="6"/>
        <v>#DIV/0!</v>
      </c>
      <c r="H116" s="37"/>
      <c r="I116" s="44"/>
    </row>
    <row r="117" spans="1:18" x14ac:dyDescent="0.2">
      <c r="B117" s="1132"/>
      <c r="C117" s="5" t="s">
        <v>3247</v>
      </c>
      <c r="F117" s="428">
        <v>0</v>
      </c>
      <c r="G117" s="432" t="e">
        <f t="shared" si="6"/>
        <v>#DIV/0!</v>
      </c>
      <c r="H117" s="37"/>
      <c r="I117" s="44"/>
    </row>
    <row r="118" spans="1:18" x14ac:dyDescent="0.2">
      <c r="B118" s="1132"/>
      <c r="C118" s="5" t="s">
        <v>3248</v>
      </c>
      <c r="F118" s="428">
        <v>0</v>
      </c>
      <c r="G118" s="432" t="e">
        <f t="shared" si="6"/>
        <v>#DIV/0!</v>
      </c>
      <c r="H118" s="37"/>
      <c r="I118" s="44"/>
    </row>
    <row r="119" spans="1:18" x14ac:dyDescent="0.2">
      <c r="B119" s="1132"/>
      <c r="C119" s="5" t="s">
        <v>3249</v>
      </c>
      <c r="F119" s="428">
        <v>0</v>
      </c>
      <c r="G119" s="432" t="e">
        <f t="shared" si="6"/>
        <v>#DIV/0!</v>
      </c>
      <c r="H119" s="37"/>
      <c r="I119" s="44"/>
    </row>
    <row r="120" spans="1:18" x14ac:dyDescent="0.2">
      <c r="B120" s="1132"/>
      <c r="C120" s="5" t="s">
        <v>3250</v>
      </c>
      <c r="F120" s="428">
        <v>0</v>
      </c>
      <c r="G120" s="432" t="e">
        <f t="shared" si="6"/>
        <v>#DIV/0!</v>
      </c>
      <c r="H120" s="37"/>
      <c r="I120" s="44"/>
    </row>
    <row r="121" spans="1:18" x14ac:dyDescent="0.2">
      <c r="B121" s="1132"/>
      <c r="C121" s="5" t="s">
        <v>3251</v>
      </c>
      <c r="F121" s="428">
        <v>0</v>
      </c>
      <c r="G121" s="432" t="e">
        <f t="shared" si="6"/>
        <v>#DIV/0!</v>
      </c>
      <c r="H121" s="37"/>
      <c r="I121" s="44"/>
    </row>
    <row r="122" spans="1:18" x14ac:dyDescent="0.2">
      <c r="B122" s="1132"/>
      <c r="C122" s="5" t="s">
        <v>3252</v>
      </c>
      <c r="F122" s="428">
        <v>0</v>
      </c>
      <c r="G122" s="432" t="e">
        <f t="shared" si="6"/>
        <v>#DIV/0!</v>
      </c>
      <c r="H122" s="37"/>
      <c r="I122" s="44"/>
    </row>
    <row r="123" spans="1:18" x14ac:dyDescent="0.2">
      <c r="B123" s="1132"/>
      <c r="C123" s="5" t="s">
        <v>3253</v>
      </c>
      <c r="F123" s="428">
        <v>0</v>
      </c>
      <c r="G123" s="432" t="e">
        <f t="shared" si="6"/>
        <v>#DIV/0!</v>
      </c>
      <c r="H123" s="37"/>
      <c r="I123" s="44"/>
    </row>
    <row r="124" spans="1:18" x14ac:dyDescent="0.2">
      <c r="B124" s="1132"/>
      <c r="C124" s="5" t="s">
        <v>3254</v>
      </c>
      <c r="F124" s="428">
        <v>0</v>
      </c>
      <c r="G124" s="432" t="e">
        <f t="shared" si="6"/>
        <v>#DIV/0!</v>
      </c>
      <c r="H124" s="37"/>
      <c r="I124" s="44"/>
    </row>
    <row r="125" spans="1:18" x14ac:dyDescent="0.2">
      <c r="B125" s="1132"/>
      <c r="C125" s="5" t="s">
        <v>3255</v>
      </c>
      <c r="F125" s="428">
        <v>0</v>
      </c>
      <c r="G125" s="432" t="e">
        <f t="shared" si="6"/>
        <v>#DIV/0!</v>
      </c>
      <c r="H125" s="37"/>
      <c r="I125" s="44"/>
    </row>
    <row r="126" spans="1:18" x14ac:dyDescent="0.2">
      <c r="B126" s="1132"/>
      <c r="C126" s="5" t="s">
        <v>3256</v>
      </c>
      <c r="F126" s="428">
        <v>0</v>
      </c>
      <c r="G126" s="432" t="e">
        <f t="shared" si="6"/>
        <v>#DIV/0!</v>
      </c>
      <c r="H126" s="37"/>
      <c r="I126" s="44"/>
    </row>
    <row r="127" spans="1:18" x14ac:dyDescent="0.2">
      <c r="B127" s="1132"/>
      <c r="C127" s="5" t="s">
        <v>3260</v>
      </c>
      <c r="F127" s="428">
        <v>0</v>
      </c>
      <c r="G127" s="432" t="e">
        <f t="shared" si="6"/>
        <v>#DIV/0!</v>
      </c>
      <c r="H127" s="37" t="str">
        <f>IF(F127&gt;0,"'Other' Detail","")</f>
        <v/>
      </c>
      <c r="I127" s="349"/>
    </row>
    <row r="128" spans="1:18" x14ac:dyDescent="0.2">
      <c r="B128" s="1132"/>
      <c r="C128" s="5" t="s">
        <v>3261</v>
      </c>
      <c r="F128" s="428">
        <v>0</v>
      </c>
      <c r="G128" s="432" t="e">
        <f t="shared" si="6"/>
        <v>#DIV/0!</v>
      </c>
      <c r="H128" s="37" t="str">
        <f>IF(F128&gt;0,"'Other' Detail","")</f>
        <v/>
      </c>
      <c r="I128" s="349"/>
    </row>
    <row r="129" spans="2:9" x14ac:dyDescent="0.2">
      <c r="B129" s="1132"/>
      <c r="C129" s="5" t="s">
        <v>3262</v>
      </c>
      <c r="F129" s="428">
        <v>0</v>
      </c>
      <c r="G129" s="432" t="e">
        <f t="shared" si="6"/>
        <v>#DIV/0!</v>
      </c>
      <c r="H129" s="37" t="str">
        <f>IF(F129&gt;0,"'Other' Detail","")</f>
        <v/>
      </c>
      <c r="I129" s="349"/>
    </row>
    <row r="130" spans="2:9" ht="15" x14ac:dyDescent="0.25">
      <c r="B130" s="1132"/>
      <c r="E130" s="40" t="s">
        <v>3259</v>
      </c>
      <c r="F130" s="453">
        <f>SUM(F115:F129)</f>
        <v>0</v>
      </c>
      <c r="G130" s="453" t="e">
        <f>SUM(G115:G129)</f>
        <v>#DIV/0!</v>
      </c>
      <c r="H130" s="37"/>
    </row>
    <row r="131" spans="2:9" x14ac:dyDescent="0.2">
      <c r="F131" s="454"/>
      <c r="G131" s="454"/>
      <c r="H131" s="37"/>
      <c r="I131" s="44"/>
    </row>
    <row r="132" spans="2:9" ht="14.25" customHeight="1" x14ac:dyDescent="0.2">
      <c r="B132" s="1131" t="s">
        <v>4349</v>
      </c>
      <c r="C132" s="5" t="s">
        <v>3263</v>
      </c>
      <c r="F132" s="428">
        <v>0</v>
      </c>
      <c r="G132" s="432" t="e">
        <f t="shared" ref="G132:G138" si="7">F132/$C$45</f>
        <v>#DIV/0!</v>
      </c>
      <c r="H132" s="37"/>
      <c r="I132" s="44"/>
    </row>
    <row r="133" spans="2:9" x14ac:dyDescent="0.2">
      <c r="B133" s="1131"/>
      <c r="C133" s="5" t="s">
        <v>3264</v>
      </c>
      <c r="F133" s="428">
        <v>0</v>
      </c>
      <c r="G133" s="432" t="e">
        <f t="shared" si="7"/>
        <v>#DIV/0!</v>
      </c>
      <c r="H133" s="37"/>
      <c r="I133" s="44"/>
    </row>
    <row r="134" spans="2:9" x14ac:dyDescent="0.2">
      <c r="B134" s="1131"/>
      <c r="C134" s="5" t="s">
        <v>3265</v>
      </c>
      <c r="F134" s="428">
        <v>0</v>
      </c>
      <c r="G134" s="432" t="e">
        <f t="shared" si="7"/>
        <v>#DIV/0!</v>
      </c>
      <c r="H134" s="37"/>
      <c r="I134" s="44"/>
    </row>
    <row r="135" spans="2:9" x14ac:dyDescent="0.2">
      <c r="B135" s="1131"/>
      <c r="C135" s="5" t="s">
        <v>3266</v>
      </c>
      <c r="F135" s="428">
        <v>0</v>
      </c>
      <c r="G135" s="432" t="e">
        <f t="shared" si="7"/>
        <v>#DIV/0!</v>
      </c>
      <c r="H135" s="37"/>
      <c r="I135" s="44"/>
    </row>
    <row r="136" spans="2:9" x14ac:dyDescent="0.2">
      <c r="B136" s="1131"/>
      <c r="C136" s="5" t="s">
        <v>3267</v>
      </c>
      <c r="F136" s="428">
        <v>0</v>
      </c>
      <c r="G136" s="432" t="e">
        <f t="shared" si="7"/>
        <v>#DIV/0!</v>
      </c>
      <c r="H136" s="37"/>
      <c r="I136" s="44"/>
    </row>
    <row r="137" spans="2:9" x14ac:dyDescent="0.2">
      <c r="B137" s="1131"/>
      <c r="C137" s="5" t="s">
        <v>3268</v>
      </c>
      <c r="F137" s="428">
        <v>0</v>
      </c>
      <c r="G137" s="432" t="e">
        <f t="shared" si="7"/>
        <v>#DIV/0!</v>
      </c>
      <c r="H137" s="37" t="str">
        <f>IF(F137&gt;0,"'Other' Detail","")</f>
        <v/>
      </c>
      <c r="I137" s="349"/>
    </row>
    <row r="138" spans="2:9" x14ac:dyDescent="0.2">
      <c r="B138" s="1131"/>
      <c r="C138" s="5" t="s">
        <v>3269</v>
      </c>
      <c r="F138" s="428">
        <v>0</v>
      </c>
      <c r="G138" s="432" t="e">
        <f t="shared" si="7"/>
        <v>#DIV/0!</v>
      </c>
      <c r="H138" s="37" t="str">
        <f>IF(F138&gt;0,"'Other' Detail","")</f>
        <v/>
      </c>
      <c r="I138" s="349"/>
    </row>
    <row r="139" spans="2:9" ht="15" x14ac:dyDescent="0.25">
      <c r="B139" s="1131"/>
      <c r="E139" s="40" t="s">
        <v>3270</v>
      </c>
      <c r="F139" s="453">
        <f>SUM(F132:F138)</f>
        <v>0</v>
      </c>
      <c r="G139" s="453" t="e">
        <f>SUM(G132:G138)</f>
        <v>#DIV/0!</v>
      </c>
      <c r="H139" s="37"/>
    </row>
    <row r="140" spans="2:9" x14ac:dyDescent="0.2">
      <c r="F140" s="454"/>
      <c r="G140" s="454"/>
      <c r="H140" s="37"/>
      <c r="I140" s="44"/>
    </row>
    <row r="141" spans="2:9" ht="14.25" customHeight="1" x14ac:dyDescent="0.2">
      <c r="B141" s="1131" t="s">
        <v>3284</v>
      </c>
      <c r="C141" s="5" t="s">
        <v>3285</v>
      </c>
      <c r="F141" s="428">
        <v>0</v>
      </c>
      <c r="G141" s="432" t="e">
        <f t="shared" ref="G141:G157" si="8">F141/$C$45</f>
        <v>#DIV/0!</v>
      </c>
      <c r="H141" s="37"/>
      <c r="I141" s="44"/>
    </row>
    <row r="142" spans="2:9" x14ac:dyDescent="0.2">
      <c r="B142" s="1131"/>
      <c r="C142" s="5" t="s">
        <v>3271</v>
      </c>
      <c r="F142" s="428">
        <v>0</v>
      </c>
      <c r="G142" s="432" t="e">
        <f t="shared" si="8"/>
        <v>#DIV/0!</v>
      </c>
      <c r="H142" s="37"/>
      <c r="I142" s="44"/>
    </row>
    <row r="143" spans="2:9" x14ac:dyDescent="0.2">
      <c r="B143" s="1131"/>
      <c r="C143" s="5" t="s">
        <v>3272</v>
      </c>
      <c r="F143" s="428">
        <v>0</v>
      </c>
      <c r="G143" s="432" t="e">
        <f t="shared" si="8"/>
        <v>#DIV/0!</v>
      </c>
      <c r="H143" s="37"/>
      <c r="I143" s="44"/>
    </row>
    <row r="144" spans="2:9" x14ac:dyDescent="0.2">
      <c r="B144" s="1131"/>
      <c r="C144" s="5" t="s">
        <v>3273</v>
      </c>
      <c r="F144" s="428">
        <v>0</v>
      </c>
      <c r="G144" s="432" t="e">
        <f t="shared" si="8"/>
        <v>#DIV/0!</v>
      </c>
      <c r="H144" s="37"/>
      <c r="I144" s="44"/>
    </row>
    <row r="145" spans="2:9" x14ac:dyDescent="0.2">
      <c r="B145" s="1131"/>
      <c r="C145" s="5" t="s">
        <v>3274</v>
      </c>
      <c r="F145" s="428">
        <v>0</v>
      </c>
      <c r="G145" s="432" t="e">
        <f t="shared" si="8"/>
        <v>#DIV/0!</v>
      </c>
      <c r="H145" s="37"/>
      <c r="I145" s="44"/>
    </row>
    <row r="146" spans="2:9" x14ac:dyDescent="0.2">
      <c r="B146" s="1131"/>
      <c r="C146" s="5" t="s">
        <v>3275</v>
      </c>
      <c r="F146" s="428">
        <v>0</v>
      </c>
      <c r="G146" s="432" t="e">
        <f t="shared" si="8"/>
        <v>#DIV/0!</v>
      </c>
      <c r="H146" s="37"/>
      <c r="I146" s="44"/>
    </row>
    <row r="147" spans="2:9" x14ac:dyDescent="0.2">
      <c r="B147" s="1131"/>
      <c r="C147" s="5" t="s">
        <v>3276</v>
      </c>
      <c r="F147" s="428">
        <v>0</v>
      </c>
      <c r="G147" s="432" t="e">
        <f t="shared" si="8"/>
        <v>#DIV/0!</v>
      </c>
      <c r="H147" s="37"/>
      <c r="I147" s="44"/>
    </row>
    <row r="148" spans="2:9" x14ac:dyDescent="0.2">
      <c r="B148" s="1131"/>
      <c r="C148" s="5" t="s">
        <v>3277</v>
      </c>
      <c r="F148" s="428">
        <v>0</v>
      </c>
      <c r="G148" s="432" t="e">
        <f t="shared" si="8"/>
        <v>#DIV/0!</v>
      </c>
      <c r="H148" s="37"/>
      <c r="I148" s="44"/>
    </row>
    <row r="149" spans="2:9" x14ac:dyDescent="0.2">
      <c r="B149" s="1131"/>
      <c r="C149" s="5" t="s">
        <v>3278</v>
      </c>
      <c r="F149" s="428">
        <v>0</v>
      </c>
      <c r="G149" s="432" t="e">
        <f t="shared" si="8"/>
        <v>#DIV/0!</v>
      </c>
      <c r="H149" s="37"/>
      <c r="I149" s="44"/>
    </row>
    <row r="150" spans="2:9" x14ac:dyDescent="0.2">
      <c r="B150" s="1131"/>
      <c r="C150" s="5" t="s">
        <v>3279</v>
      </c>
      <c r="F150" s="428">
        <v>0</v>
      </c>
      <c r="G150" s="432" t="e">
        <f t="shared" si="8"/>
        <v>#DIV/0!</v>
      </c>
      <c r="H150" s="37"/>
      <c r="I150" s="44"/>
    </row>
    <row r="151" spans="2:9" x14ac:dyDescent="0.2">
      <c r="B151" s="1131"/>
      <c r="C151" s="5" t="s">
        <v>3280</v>
      </c>
      <c r="F151" s="428">
        <v>0</v>
      </c>
      <c r="G151" s="432" t="e">
        <f t="shared" si="8"/>
        <v>#DIV/0!</v>
      </c>
      <c r="H151" s="37"/>
      <c r="I151" s="44"/>
    </row>
    <row r="152" spans="2:9" x14ac:dyDescent="0.2">
      <c r="B152" s="1131"/>
      <c r="C152" s="5" t="s">
        <v>3281</v>
      </c>
      <c r="F152" s="428">
        <v>0</v>
      </c>
      <c r="G152" s="432" t="e">
        <f t="shared" si="8"/>
        <v>#DIV/0!</v>
      </c>
      <c r="H152" s="37"/>
      <c r="I152" s="44"/>
    </row>
    <row r="153" spans="2:9" x14ac:dyDescent="0.2">
      <c r="B153" s="1131"/>
      <c r="C153" s="5" t="s">
        <v>3282</v>
      </c>
      <c r="F153" s="428">
        <v>0</v>
      </c>
      <c r="G153" s="432" t="e">
        <f t="shared" si="8"/>
        <v>#DIV/0!</v>
      </c>
      <c r="H153" s="37"/>
      <c r="I153" s="44"/>
    </row>
    <row r="154" spans="2:9" x14ac:dyDescent="0.2">
      <c r="B154" s="1131"/>
      <c r="C154" s="5" t="s">
        <v>3286</v>
      </c>
      <c r="F154" s="428">
        <v>0</v>
      </c>
      <c r="G154" s="432" t="e">
        <f t="shared" si="8"/>
        <v>#DIV/0!</v>
      </c>
      <c r="H154" s="37" t="str">
        <f>IF(F154&gt;0,"'Other' Detail","")</f>
        <v/>
      </c>
      <c r="I154" s="349"/>
    </row>
    <row r="155" spans="2:9" x14ac:dyDescent="0.2">
      <c r="B155" s="1131"/>
      <c r="C155" s="5" t="s">
        <v>3287</v>
      </c>
      <c r="F155" s="428">
        <v>0</v>
      </c>
      <c r="G155" s="432" t="e">
        <f t="shared" si="8"/>
        <v>#DIV/0!</v>
      </c>
      <c r="H155" s="37" t="str">
        <f>IF(F155&gt;0,"'Other' Detail","")</f>
        <v/>
      </c>
      <c r="I155" s="349"/>
    </row>
    <row r="156" spans="2:9" x14ac:dyDescent="0.2">
      <c r="B156" s="1131"/>
      <c r="C156" s="5" t="s">
        <v>3288</v>
      </c>
      <c r="F156" s="428">
        <v>0</v>
      </c>
      <c r="G156" s="432" t="e">
        <f t="shared" si="8"/>
        <v>#DIV/0!</v>
      </c>
      <c r="H156" s="37" t="str">
        <f>IF(F156&gt;0,"'Other' Detail","")</f>
        <v/>
      </c>
      <c r="I156" s="349"/>
    </row>
    <row r="157" spans="2:9" x14ac:dyDescent="0.2">
      <c r="B157" s="1131"/>
      <c r="C157" s="5" t="s">
        <v>3289</v>
      </c>
      <c r="F157" s="428">
        <v>0</v>
      </c>
      <c r="G157" s="432" t="e">
        <f t="shared" si="8"/>
        <v>#DIV/0!</v>
      </c>
      <c r="H157" s="37" t="str">
        <f>IF(F157&gt;0,"'Other' Detail","")</f>
        <v/>
      </c>
      <c r="I157" s="349"/>
    </row>
    <row r="158" spans="2:9" ht="15" x14ac:dyDescent="0.25">
      <c r="B158" s="1131"/>
      <c r="E158" s="40" t="s">
        <v>3283</v>
      </c>
      <c r="F158" s="453">
        <f>SUM(F141:F157)</f>
        <v>0</v>
      </c>
      <c r="G158" s="453" t="e">
        <f>SUM(G141:G157)</f>
        <v>#DIV/0!</v>
      </c>
      <c r="H158" s="37"/>
    </row>
    <row r="159" spans="2:9" x14ac:dyDescent="0.2">
      <c r="F159" s="454"/>
      <c r="G159" s="454"/>
      <c r="H159" s="37"/>
      <c r="I159" s="44"/>
    </row>
    <row r="160" spans="2:9" ht="14.25" customHeight="1" x14ac:dyDescent="0.2">
      <c r="B160" s="1131" t="s">
        <v>3297</v>
      </c>
      <c r="C160" s="5" t="s">
        <v>3290</v>
      </c>
      <c r="F160" s="428">
        <v>0</v>
      </c>
      <c r="G160" s="432" t="e">
        <f t="shared" ref="G160:G169" si="9">F160/$C$45</f>
        <v>#DIV/0!</v>
      </c>
      <c r="H160" s="37"/>
      <c r="I160" s="44"/>
    </row>
    <row r="161" spans="2:9" x14ac:dyDescent="0.2">
      <c r="B161" s="1131"/>
      <c r="C161" s="5" t="s">
        <v>3291</v>
      </c>
      <c r="F161" s="428">
        <v>0</v>
      </c>
      <c r="G161" s="432" t="e">
        <f t="shared" si="9"/>
        <v>#DIV/0!</v>
      </c>
      <c r="H161" s="37"/>
      <c r="I161" s="44"/>
    </row>
    <row r="162" spans="2:9" x14ac:dyDescent="0.2">
      <c r="B162" s="1131"/>
      <c r="C162" s="5" t="s">
        <v>3292</v>
      </c>
      <c r="F162" s="428">
        <v>0</v>
      </c>
      <c r="G162" s="432" t="e">
        <f t="shared" si="9"/>
        <v>#DIV/0!</v>
      </c>
      <c r="H162" s="37"/>
      <c r="I162" s="44"/>
    </row>
    <row r="163" spans="2:9" x14ac:dyDescent="0.2">
      <c r="B163" s="1131"/>
      <c r="C163" s="5" t="s">
        <v>3293</v>
      </c>
      <c r="F163" s="428">
        <v>0</v>
      </c>
      <c r="G163" s="432" t="e">
        <f t="shared" si="9"/>
        <v>#DIV/0!</v>
      </c>
      <c r="H163" s="37"/>
      <c r="I163" s="44"/>
    </row>
    <row r="164" spans="2:9" x14ac:dyDescent="0.2">
      <c r="B164" s="1131"/>
      <c r="C164" s="5" t="s">
        <v>3294</v>
      </c>
      <c r="F164" s="428">
        <v>0</v>
      </c>
      <c r="G164" s="432" t="e">
        <f t="shared" si="9"/>
        <v>#DIV/0!</v>
      </c>
      <c r="H164" s="37"/>
      <c r="I164" s="44"/>
    </row>
    <row r="165" spans="2:9" x14ac:dyDescent="0.2">
      <c r="B165" s="1131"/>
      <c r="C165" s="5" t="s">
        <v>3295</v>
      </c>
      <c r="F165" s="428">
        <v>0</v>
      </c>
      <c r="G165" s="432" t="e">
        <f t="shared" si="9"/>
        <v>#DIV/0!</v>
      </c>
      <c r="H165" s="37"/>
      <c r="I165" s="44"/>
    </row>
    <row r="166" spans="2:9" x14ac:dyDescent="0.2">
      <c r="B166" s="1131"/>
      <c r="C166" s="5" t="s">
        <v>3296</v>
      </c>
      <c r="F166" s="428">
        <v>0</v>
      </c>
      <c r="G166" s="432" t="e">
        <f t="shared" si="9"/>
        <v>#DIV/0!</v>
      </c>
      <c r="H166" s="37"/>
      <c r="I166" s="44"/>
    </row>
    <row r="167" spans="2:9" x14ac:dyDescent="0.2">
      <c r="B167" s="1131"/>
      <c r="C167" s="5" t="s">
        <v>3298</v>
      </c>
      <c r="F167" s="428">
        <v>0</v>
      </c>
      <c r="G167" s="432" t="e">
        <f t="shared" si="9"/>
        <v>#DIV/0!</v>
      </c>
      <c r="H167" s="37" t="str">
        <f>IF(F167&gt;0,"'Other' Detail","")</f>
        <v/>
      </c>
      <c r="I167" s="349"/>
    </row>
    <row r="168" spans="2:9" x14ac:dyDescent="0.2">
      <c r="B168" s="1131"/>
      <c r="C168" s="5" t="s">
        <v>3299</v>
      </c>
      <c r="F168" s="428">
        <v>0</v>
      </c>
      <c r="G168" s="432" t="e">
        <f t="shared" si="9"/>
        <v>#DIV/0!</v>
      </c>
      <c r="H168" s="37" t="str">
        <f>IF(F168&gt;0,"'Other' Detail","")</f>
        <v/>
      </c>
      <c r="I168" s="349"/>
    </row>
    <row r="169" spans="2:9" x14ac:dyDescent="0.2">
      <c r="B169" s="1131"/>
      <c r="C169" s="5" t="s">
        <v>3300</v>
      </c>
      <c r="F169" s="428">
        <v>0</v>
      </c>
      <c r="G169" s="432" t="e">
        <f t="shared" si="9"/>
        <v>#DIV/0!</v>
      </c>
      <c r="H169" s="37" t="str">
        <f>IF(F169&gt;0,"'Other' Detail","")</f>
        <v/>
      </c>
      <c r="I169" s="349"/>
    </row>
    <row r="170" spans="2:9" ht="15" x14ac:dyDescent="0.25">
      <c r="E170" s="40" t="s">
        <v>3301</v>
      </c>
      <c r="F170" s="453">
        <f>SUM(F160:F169)</f>
        <v>0</v>
      </c>
      <c r="G170" s="453" t="e">
        <f>SUM(G160:G169)</f>
        <v>#DIV/0!</v>
      </c>
      <c r="H170" s="37"/>
    </row>
    <row r="171" spans="2:9" x14ac:dyDescent="0.2">
      <c r="F171" s="454"/>
      <c r="G171" s="454"/>
      <c r="H171" s="37"/>
      <c r="I171" s="44"/>
    </row>
    <row r="172" spans="2:9" ht="14.25" customHeight="1" x14ac:dyDescent="0.2">
      <c r="B172" s="1131" t="s">
        <v>3080</v>
      </c>
      <c r="C172" s="5" t="s">
        <v>3302</v>
      </c>
      <c r="F172" s="428">
        <v>0</v>
      </c>
      <c r="G172" s="432" t="e">
        <f>F172/$C$45</f>
        <v>#DIV/0!</v>
      </c>
      <c r="H172" s="37"/>
      <c r="I172" s="44"/>
    </row>
    <row r="173" spans="2:9" x14ac:dyDescent="0.2">
      <c r="B173" s="1131"/>
      <c r="C173" s="5" t="s">
        <v>3303</v>
      </c>
      <c r="F173" s="428">
        <v>0</v>
      </c>
      <c r="G173" s="432" t="e">
        <f>F173/$C$45</f>
        <v>#DIV/0!</v>
      </c>
      <c r="H173" s="37" t="str">
        <f>IF(F173&gt;0,"'Other' Detail","")</f>
        <v/>
      </c>
      <c r="I173" s="349"/>
    </row>
    <row r="174" spans="2:9" x14ac:dyDescent="0.2">
      <c r="B174" s="1131"/>
      <c r="C174" s="5" t="s">
        <v>3304</v>
      </c>
      <c r="F174" s="428">
        <v>0</v>
      </c>
      <c r="G174" s="432" t="e">
        <f>F174/$C$45</f>
        <v>#DIV/0!</v>
      </c>
      <c r="H174" s="37" t="str">
        <f>IF(F174&gt;0,"'Other' Detail","")</f>
        <v/>
      </c>
      <c r="I174" s="349"/>
    </row>
    <row r="175" spans="2:9" x14ac:dyDescent="0.2">
      <c r="B175" s="1131"/>
      <c r="C175" s="5" t="s">
        <v>3306</v>
      </c>
      <c r="F175" s="428">
        <v>0</v>
      </c>
      <c r="G175" s="432" t="e">
        <f>F175/$C$45</f>
        <v>#DIV/0!</v>
      </c>
      <c r="H175" s="37" t="str">
        <f>IF(F175&gt;0,"'Other' Detail","")</f>
        <v/>
      </c>
      <c r="I175" s="349"/>
    </row>
    <row r="176" spans="2:9" ht="15" x14ac:dyDescent="0.25">
      <c r="B176" s="1131"/>
      <c r="E176" s="40" t="s">
        <v>3305</v>
      </c>
      <c r="F176" s="453">
        <f>SUM(F172:F175)</f>
        <v>0</v>
      </c>
      <c r="G176" s="453" t="e">
        <f>SUM(G172:G175)</f>
        <v>#DIV/0!</v>
      </c>
    </row>
    <row r="177" spans="1:12" x14ac:dyDescent="0.2">
      <c r="F177" s="454"/>
      <c r="G177" s="454"/>
      <c r="I177" s="44"/>
    </row>
    <row r="178" spans="1:12" ht="15" x14ac:dyDescent="0.25">
      <c r="E178" s="40" t="s">
        <v>3307</v>
      </c>
      <c r="F178" s="453">
        <f>F176+F170+F158+F139+F130</f>
        <v>0</v>
      </c>
      <c r="G178" s="453" t="e">
        <f>G176+G170+G158+G139+G130</f>
        <v>#DIV/0!</v>
      </c>
      <c r="I178" s="44"/>
    </row>
    <row r="179" spans="1:12" x14ac:dyDescent="0.2">
      <c r="F179" s="454"/>
      <c r="G179" s="454"/>
      <c r="I179" s="44"/>
    </row>
    <row r="180" spans="1:12" ht="15" x14ac:dyDescent="0.25">
      <c r="E180" s="40" t="s">
        <v>3308</v>
      </c>
      <c r="F180" s="453">
        <f>F111-F178</f>
        <v>0</v>
      </c>
      <c r="G180" s="453" t="e">
        <f>G111-G178</f>
        <v>#DIV/0!</v>
      </c>
      <c r="I180" s="44"/>
    </row>
    <row r="181" spans="1:12" ht="15" x14ac:dyDescent="0.25">
      <c r="E181" s="40"/>
      <c r="I181" s="44"/>
    </row>
    <row r="182" spans="1:12" ht="15" x14ac:dyDescent="0.25">
      <c r="C182" s="20" t="s">
        <v>3529</v>
      </c>
      <c r="E182" s="40"/>
    </row>
    <row r="183" spans="1:12" ht="68.25" customHeight="1" x14ac:dyDescent="0.2">
      <c r="C183" s="1168"/>
      <c r="D183" s="1169"/>
      <c r="E183" s="1169"/>
      <c r="F183" s="1169"/>
      <c r="G183" s="1169"/>
      <c r="H183" s="1169"/>
      <c r="I183" s="1169"/>
      <c r="J183" s="1170"/>
    </row>
    <row r="185" spans="1:12" ht="24.95" customHeight="1" x14ac:dyDescent="0.2">
      <c r="A185" s="739" t="s">
        <v>3316</v>
      </c>
    </row>
    <row r="186" spans="1:12" ht="14.25" customHeight="1" x14ac:dyDescent="0.2">
      <c r="C186" s="1129" t="s">
        <v>3317</v>
      </c>
      <c r="D186" s="1130"/>
      <c r="E186" s="1082"/>
      <c r="F186" s="1082"/>
      <c r="G186" s="1082"/>
      <c r="H186" s="1082"/>
      <c r="I186" s="1082"/>
    </row>
    <row r="188" spans="1:12" ht="15" x14ac:dyDescent="0.25">
      <c r="C188" s="25" t="s">
        <v>3324</v>
      </c>
      <c r="D188" s="16" t="s">
        <v>3217</v>
      </c>
      <c r="E188" s="16" t="s">
        <v>3145</v>
      </c>
      <c r="F188" s="16" t="s">
        <v>3146</v>
      </c>
      <c r="G188" s="16" t="s">
        <v>3147</v>
      </c>
      <c r="H188" s="16" t="s">
        <v>3216</v>
      </c>
      <c r="I188" s="16" t="s">
        <v>3323</v>
      </c>
    </row>
    <row r="189" spans="1:12" x14ac:dyDescent="0.2">
      <c r="C189" s="28" t="s">
        <v>3318</v>
      </c>
      <c r="D189" s="199"/>
      <c r="E189" s="199"/>
      <c r="F189" s="199"/>
      <c r="G189" s="199"/>
      <c r="H189" s="199"/>
      <c r="I189" s="199"/>
    </row>
    <row r="190" spans="1:12" x14ac:dyDescent="0.2">
      <c r="C190" s="28" t="s">
        <v>3319</v>
      </c>
      <c r="D190" s="199"/>
      <c r="E190" s="199"/>
      <c r="F190" s="199"/>
      <c r="G190" s="199"/>
      <c r="H190" s="199"/>
      <c r="I190" s="199"/>
      <c r="K190" s="191"/>
      <c r="L190" s="191"/>
    </row>
    <row r="191" spans="1:12" x14ac:dyDescent="0.2">
      <c r="C191" s="28" t="s">
        <v>3320</v>
      </c>
      <c r="D191" s="199"/>
      <c r="E191" s="199"/>
      <c r="F191" s="199"/>
      <c r="G191" s="199"/>
      <c r="H191" s="199"/>
      <c r="I191" s="199"/>
      <c r="K191" s="191"/>
      <c r="L191" s="191"/>
    </row>
    <row r="192" spans="1:12" x14ac:dyDescent="0.2">
      <c r="C192" s="28" t="s">
        <v>3321</v>
      </c>
      <c r="D192" s="199"/>
      <c r="E192" s="199"/>
      <c r="F192" s="199"/>
      <c r="G192" s="199"/>
      <c r="H192" s="199"/>
      <c r="I192" s="199"/>
    </row>
    <row r="193" spans="1:18" x14ac:dyDescent="0.2">
      <c r="C193" s="28" t="s">
        <v>3322</v>
      </c>
      <c r="D193" s="199"/>
      <c r="E193" s="199"/>
      <c r="F193" s="199"/>
      <c r="G193" s="199"/>
      <c r="H193" s="199"/>
      <c r="I193" s="199"/>
    </row>
    <row r="194" spans="1:18" x14ac:dyDescent="0.2">
      <c r="C194" s="28" t="s">
        <v>3080</v>
      </c>
      <c r="D194" s="199"/>
      <c r="E194" s="199"/>
      <c r="F194" s="199"/>
      <c r="G194" s="199"/>
      <c r="H194" s="199"/>
      <c r="I194" s="199"/>
      <c r="J194" s="5" t="str">
        <f>IF(SUM(D194:I194)&gt;0,"'Other' Detail","")</f>
        <v/>
      </c>
      <c r="K194" s="1171" t="s">
        <v>4564</v>
      </c>
      <c r="L194" s="1172"/>
    </row>
    <row r="195" spans="1:18" ht="15" x14ac:dyDescent="0.25">
      <c r="C195" s="41" t="s">
        <v>3105</v>
      </c>
      <c r="D195" s="42">
        <f t="shared" ref="D195:I195" si="10">SUM(D189:D194)</f>
        <v>0</v>
      </c>
      <c r="E195" s="42">
        <f t="shared" si="10"/>
        <v>0</v>
      </c>
      <c r="F195" s="42">
        <f t="shared" si="10"/>
        <v>0</v>
      </c>
      <c r="G195" s="42">
        <f t="shared" si="10"/>
        <v>0</v>
      </c>
      <c r="H195" s="42">
        <f t="shared" si="10"/>
        <v>0</v>
      </c>
      <c r="I195" s="42">
        <f t="shared" si="10"/>
        <v>0</v>
      </c>
      <c r="K195" s="32">
        <f>SUM(D195:I195)</f>
        <v>0</v>
      </c>
      <c r="L195" s="17" t="str">
        <f>IF(K195=0,"Yes","No")</f>
        <v>Yes</v>
      </c>
    </row>
    <row r="196" spans="1:18" ht="26.25" customHeight="1" x14ac:dyDescent="0.2"/>
    <row r="197" spans="1:18" ht="15" x14ac:dyDescent="0.25">
      <c r="C197" s="25" t="s">
        <v>3325</v>
      </c>
      <c r="D197" s="16" t="s">
        <v>3217</v>
      </c>
      <c r="E197" s="16" t="s">
        <v>3145</v>
      </c>
      <c r="F197" s="16" t="s">
        <v>3146</v>
      </c>
      <c r="G197" s="16" t="s">
        <v>3147</v>
      </c>
      <c r="H197" s="16" t="s">
        <v>3216</v>
      </c>
      <c r="I197" s="16" t="s">
        <v>3323</v>
      </c>
    </row>
    <row r="198" spans="1:18" x14ac:dyDescent="0.2">
      <c r="C198" s="28" t="s">
        <v>3318</v>
      </c>
      <c r="D198" s="199"/>
      <c r="E198" s="199"/>
      <c r="F198" s="199"/>
      <c r="G198" s="199"/>
      <c r="H198" s="199"/>
      <c r="I198" s="199"/>
    </row>
    <row r="199" spans="1:18" x14ac:dyDescent="0.2">
      <c r="C199" s="28" t="s">
        <v>3319</v>
      </c>
      <c r="D199" s="199"/>
      <c r="E199" s="199"/>
      <c r="F199" s="199"/>
      <c r="G199" s="199"/>
      <c r="H199" s="199"/>
      <c r="I199" s="199"/>
    </row>
    <row r="200" spans="1:18" x14ac:dyDescent="0.2">
      <c r="C200" s="28" t="s">
        <v>3320</v>
      </c>
      <c r="D200" s="199"/>
      <c r="E200" s="199"/>
      <c r="F200" s="199"/>
      <c r="G200" s="199"/>
      <c r="H200" s="199"/>
      <c r="I200" s="199"/>
    </row>
    <row r="201" spans="1:18" x14ac:dyDescent="0.2">
      <c r="C201" s="28" t="s">
        <v>3321</v>
      </c>
      <c r="D201" s="199"/>
      <c r="E201" s="199"/>
      <c r="F201" s="199"/>
      <c r="G201" s="199"/>
      <c r="H201" s="199"/>
      <c r="I201" s="199"/>
    </row>
    <row r="202" spans="1:18" x14ac:dyDescent="0.2">
      <c r="C202" s="28" t="s">
        <v>3322</v>
      </c>
      <c r="D202" s="199"/>
      <c r="E202" s="199"/>
      <c r="F202" s="199"/>
      <c r="G202" s="199"/>
      <c r="H202" s="199"/>
      <c r="I202" s="199"/>
    </row>
    <row r="203" spans="1:18" x14ac:dyDescent="0.2">
      <c r="C203" s="28" t="s">
        <v>3080</v>
      </c>
      <c r="D203" s="199"/>
      <c r="E203" s="199"/>
      <c r="F203" s="199"/>
      <c r="G203" s="199"/>
      <c r="H203" s="199"/>
      <c r="I203" s="199"/>
      <c r="J203" t="str">
        <f>IF(SUM(D203:I203)&gt;0,"'Other' Detail","")</f>
        <v/>
      </c>
      <c r="K203" s="349"/>
    </row>
    <row r="204" spans="1:18" ht="15" x14ac:dyDescent="0.25">
      <c r="C204" s="41" t="s">
        <v>3105</v>
      </c>
      <c r="D204" s="42">
        <f t="shared" ref="D204:I204" si="11">SUM(D198:D203)</f>
        <v>0</v>
      </c>
      <c r="E204" s="42">
        <f t="shared" si="11"/>
        <v>0</v>
      </c>
      <c r="F204" s="42">
        <f t="shared" si="11"/>
        <v>0</v>
      </c>
      <c r="G204" s="42">
        <f t="shared" si="11"/>
        <v>0</v>
      </c>
      <c r="H204" s="42">
        <f t="shared" si="11"/>
        <v>0</v>
      </c>
      <c r="I204" s="42">
        <f t="shared" si="11"/>
        <v>0</v>
      </c>
    </row>
    <row r="206" spans="1:18" ht="24.95" customHeight="1" x14ac:dyDescent="0.2">
      <c r="A206" s="739" t="s">
        <v>3326</v>
      </c>
    </row>
    <row r="207" spans="1:18" s="196" customFormat="1" ht="36" customHeight="1" x14ac:dyDescent="0.25">
      <c r="A207" s="21"/>
      <c r="B207" s="21"/>
      <c r="C207" s="1173" t="s">
        <v>3327</v>
      </c>
      <c r="D207" s="1174"/>
      <c r="E207" s="1151" t="s">
        <v>3328</v>
      </c>
      <c r="F207" s="1152"/>
      <c r="G207" s="23" t="s">
        <v>3333</v>
      </c>
      <c r="H207" s="23" t="s">
        <v>3335</v>
      </c>
      <c r="I207" s="23" t="s">
        <v>3334</v>
      </c>
      <c r="J207" s="23" t="s">
        <v>3336</v>
      </c>
      <c r="K207" s="23" t="s">
        <v>3530</v>
      </c>
      <c r="L207" s="21"/>
      <c r="M207" s="5"/>
      <c r="N207" s="21"/>
      <c r="O207" s="21"/>
      <c r="P207" s="21"/>
      <c r="Q207" s="21"/>
      <c r="R207" s="21"/>
    </row>
    <row r="208" spans="1:18" x14ac:dyDescent="0.2">
      <c r="C208" s="1145" t="s">
        <v>3329</v>
      </c>
      <c r="D208" s="1146"/>
      <c r="E208" s="1149"/>
      <c r="F208" s="1150"/>
      <c r="G208" s="443">
        <v>0</v>
      </c>
      <c r="H208" s="201"/>
      <c r="I208" s="410">
        <f>IF(H208&gt;0,(H208*G208),0)</f>
        <v>0</v>
      </c>
      <c r="J208" s="202"/>
      <c r="K208" s="202"/>
      <c r="M208" s="21"/>
    </row>
    <row r="209" spans="1:18" x14ac:dyDescent="0.2">
      <c r="C209" s="1145" t="s">
        <v>3330</v>
      </c>
      <c r="D209" s="1146"/>
      <c r="E209" s="1149"/>
      <c r="F209" s="1150"/>
      <c r="G209" s="443">
        <v>0</v>
      </c>
      <c r="H209" s="619"/>
      <c r="I209" s="620"/>
      <c r="J209" s="621"/>
      <c r="K209" s="621"/>
    </row>
    <row r="210" spans="1:18" x14ac:dyDescent="0.2">
      <c r="C210" s="1145" t="s">
        <v>3332</v>
      </c>
      <c r="D210" s="1146"/>
      <c r="E210" s="1149"/>
      <c r="F210" s="1150"/>
      <c r="G210" s="443">
        <v>0</v>
      </c>
      <c r="H210" s="201"/>
      <c r="I210" s="410">
        <f t="shared" ref="I210:I217" si="12">IF(H210&gt;0,(H210*G210),0)</f>
        <v>0</v>
      </c>
      <c r="J210" s="203"/>
      <c r="K210" s="203"/>
    </row>
    <row r="211" spans="1:18" x14ac:dyDescent="0.2">
      <c r="C211" s="1145" t="s">
        <v>3331</v>
      </c>
      <c r="D211" s="1146"/>
      <c r="E211" s="1149"/>
      <c r="F211" s="1150"/>
      <c r="G211" s="443">
        <v>0</v>
      </c>
      <c r="H211" s="159">
        <v>0</v>
      </c>
      <c r="I211" s="43">
        <f t="shared" si="12"/>
        <v>0</v>
      </c>
      <c r="J211" s="35">
        <v>0</v>
      </c>
      <c r="K211" s="35">
        <v>0</v>
      </c>
      <c r="L211" s="5" t="str">
        <f>IF(G211&gt;0,"Residential Portion","")</f>
        <v/>
      </c>
      <c r="M211" s="349"/>
    </row>
    <row r="212" spans="1:18" x14ac:dyDescent="0.2">
      <c r="C212" s="1145" t="s">
        <v>3104</v>
      </c>
      <c r="D212" s="1146"/>
      <c r="E212" s="1147" t="s">
        <v>3396</v>
      </c>
      <c r="F212" s="1148"/>
      <c r="G212" s="443">
        <v>0</v>
      </c>
      <c r="H212" s="201"/>
      <c r="I212" s="410">
        <f t="shared" si="12"/>
        <v>0</v>
      </c>
      <c r="J212" s="202"/>
      <c r="K212" s="202"/>
    </row>
    <row r="213" spans="1:18" x14ac:dyDescent="0.2">
      <c r="C213" s="1145" t="s">
        <v>4175</v>
      </c>
      <c r="D213" s="1146"/>
      <c r="E213" s="1149"/>
      <c r="F213" s="1150"/>
      <c r="G213" s="443">
        <v>0</v>
      </c>
      <c r="H213" s="201"/>
      <c r="I213" s="410">
        <f t="shared" si="12"/>
        <v>0</v>
      </c>
      <c r="J213" s="202"/>
      <c r="K213" s="202"/>
    </row>
    <row r="214" spans="1:18" x14ac:dyDescent="0.2">
      <c r="C214" s="1145" t="s">
        <v>4176</v>
      </c>
      <c r="D214" s="1146"/>
      <c r="E214" s="1149"/>
      <c r="F214" s="1150"/>
      <c r="G214" s="443">
        <v>0</v>
      </c>
      <c r="H214" s="201"/>
      <c r="I214" s="410">
        <f t="shared" si="12"/>
        <v>0</v>
      </c>
      <c r="J214" s="202"/>
      <c r="K214" s="202"/>
    </row>
    <row r="215" spans="1:18" x14ac:dyDescent="0.2">
      <c r="C215" s="1145" t="s">
        <v>4177</v>
      </c>
      <c r="D215" s="1146"/>
      <c r="E215" s="1149"/>
      <c r="F215" s="1150"/>
      <c r="G215" s="443">
        <v>0</v>
      </c>
      <c r="H215" s="201"/>
      <c r="I215" s="410">
        <f t="shared" si="12"/>
        <v>0</v>
      </c>
      <c r="J215" s="202"/>
      <c r="K215" s="202"/>
    </row>
    <row r="216" spans="1:18" x14ac:dyDescent="0.2">
      <c r="C216" s="1145" t="s">
        <v>4178</v>
      </c>
      <c r="D216" s="1146"/>
      <c r="E216" s="1149"/>
      <c r="F216" s="1150"/>
      <c r="G216" s="443">
        <v>0</v>
      </c>
      <c r="H216" s="201"/>
      <c r="I216" s="410">
        <f t="shared" si="12"/>
        <v>0</v>
      </c>
      <c r="J216" s="202"/>
      <c r="K216" s="202"/>
    </row>
    <row r="217" spans="1:18" x14ac:dyDescent="0.2">
      <c r="C217" s="1145" t="s">
        <v>4179</v>
      </c>
      <c r="D217" s="1146"/>
      <c r="E217" s="1149"/>
      <c r="F217" s="1150"/>
      <c r="G217" s="443">
        <v>0</v>
      </c>
      <c r="H217" s="201"/>
      <c r="I217" s="410">
        <f t="shared" si="12"/>
        <v>0</v>
      </c>
      <c r="J217" s="202"/>
      <c r="K217" s="202"/>
    </row>
    <row r="218" spans="1:18" x14ac:dyDescent="0.2">
      <c r="F218" s="37" t="s">
        <v>3107</v>
      </c>
      <c r="G218" s="444">
        <f>SUM(G208:G217)</f>
        <v>0</v>
      </c>
      <c r="I218" s="43">
        <f>SUM(I208:I217)</f>
        <v>0</v>
      </c>
    </row>
    <row r="219" spans="1:18" x14ac:dyDescent="0.2">
      <c r="F219" s="37" t="s">
        <v>4283</v>
      </c>
      <c r="G219" s="10">
        <f>COUNTIF(G208:G217,"&gt;0")</f>
        <v>0</v>
      </c>
    </row>
    <row r="220" spans="1:18" x14ac:dyDescent="0.2">
      <c r="F220" s="37"/>
      <c r="G220" s="37"/>
    </row>
    <row r="221" spans="1:18" s="197" customFormat="1" ht="24.95" customHeight="1" x14ac:dyDescent="0.2">
      <c r="A221" s="739" t="s">
        <v>3337</v>
      </c>
      <c r="B221" s="187"/>
      <c r="C221" s="187"/>
      <c r="D221" s="187"/>
      <c r="E221" s="187"/>
      <c r="F221" s="187"/>
      <c r="G221" s="187"/>
      <c r="H221" s="187"/>
      <c r="I221" s="187"/>
      <c r="J221" s="187"/>
      <c r="K221" s="747"/>
      <c r="L221" s="187"/>
      <c r="M221" s="187"/>
      <c r="N221" s="187"/>
      <c r="O221" s="187"/>
      <c r="P221" s="187"/>
      <c r="Q221" s="187"/>
      <c r="R221" s="187"/>
    </row>
    <row r="222" spans="1:18" ht="49.5" customHeight="1" x14ac:dyDescent="0.2">
      <c r="A222" s="1125" t="s">
        <v>4412</v>
      </c>
      <c r="B222" s="1125"/>
      <c r="C222" s="1125"/>
      <c r="D222" s="1125"/>
      <c r="E222" s="1125"/>
      <c r="F222" s="1125"/>
      <c r="G222" s="1125"/>
      <c r="H222" s="1125"/>
      <c r="I222" s="1125"/>
      <c r="J222" s="1125"/>
      <c r="K222" s="1125"/>
    </row>
    <row r="224" spans="1:18" x14ac:dyDescent="0.2">
      <c r="C224" s="5" t="s">
        <v>3339</v>
      </c>
      <c r="E224" s="204"/>
      <c r="G224" s="5" t="str">
        <f>IF(E224="Yes","Amount of soft subordinate debt to be restructured","")</f>
        <v/>
      </c>
      <c r="J224" s="349"/>
    </row>
    <row r="225" spans="3:19" x14ac:dyDescent="0.2">
      <c r="C225" s="5" t="s">
        <v>4329</v>
      </c>
      <c r="E225" s="204"/>
      <c r="G225" s="191"/>
    </row>
    <row r="226" spans="3:19" x14ac:dyDescent="0.2">
      <c r="C226" s="191"/>
      <c r="G226" s="191"/>
    </row>
    <row r="227" spans="3:19" ht="15" x14ac:dyDescent="0.25">
      <c r="C227" s="20" t="s">
        <v>3340</v>
      </c>
      <c r="E227" s="40"/>
    </row>
    <row r="228" spans="3:19" ht="60.75" customHeight="1" x14ac:dyDescent="0.2">
      <c r="C228" s="1168"/>
      <c r="D228" s="1169"/>
      <c r="E228" s="1169"/>
      <c r="F228" s="1169"/>
      <c r="G228" s="1169"/>
      <c r="H228" s="1169"/>
      <c r="I228" s="1169"/>
      <c r="J228" s="1170"/>
    </row>
    <row r="230" spans="3:19" ht="15" x14ac:dyDescent="0.25">
      <c r="C230" s="20" t="s">
        <v>3543</v>
      </c>
      <c r="E230" s="40"/>
    </row>
    <row r="231" spans="3:19" ht="60.75" customHeight="1" x14ac:dyDescent="0.2">
      <c r="C231" s="1168"/>
      <c r="D231" s="1169"/>
      <c r="E231" s="1169"/>
      <c r="F231" s="1169"/>
      <c r="G231" s="1169"/>
      <c r="H231" s="1169"/>
      <c r="I231" s="1169"/>
      <c r="J231" s="1170"/>
    </row>
    <row r="233" spans="3:19" ht="28.5" customHeight="1" x14ac:dyDescent="0.25">
      <c r="C233" s="1173" t="s">
        <v>3544</v>
      </c>
      <c r="D233" s="1178"/>
      <c r="E233" s="1174"/>
      <c r="F233" s="23" t="s">
        <v>3537</v>
      </c>
      <c r="G233" s="23" t="s">
        <v>3538</v>
      </c>
      <c r="H233" s="23" t="s">
        <v>3539</v>
      </c>
    </row>
    <row r="234" spans="3:19" ht="30" customHeight="1" x14ac:dyDescent="0.2">
      <c r="C234" s="1120" t="s">
        <v>4092</v>
      </c>
      <c r="D234" s="1121"/>
      <c r="E234" s="1122"/>
      <c r="F234" s="205"/>
      <c r="G234" s="205"/>
      <c r="H234" s="205"/>
    </row>
    <row r="235" spans="3:19" ht="14.25" customHeight="1" x14ac:dyDescent="0.2">
      <c r="C235" s="1120" t="s">
        <v>3545</v>
      </c>
      <c r="D235" s="1121"/>
      <c r="E235" s="1122"/>
      <c r="F235" s="200"/>
      <c r="G235" s="200"/>
      <c r="H235" s="200"/>
    </row>
    <row r="237" spans="3:19" ht="45" x14ac:dyDescent="0.25">
      <c r="C237" s="1151" t="s">
        <v>3327</v>
      </c>
      <c r="D237" s="1152"/>
      <c r="E237" s="1151" t="s">
        <v>3328</v>
      </c>
      <c r="F237" s="1152"/>
      <c r="G237" s="23" t="s">
        <v>3333</v>
      </c>
      <c r="H237" s="23" t="s">
        <v>3335</v>
      </c>
      <c r="I237" s="23" t="s">
        <v>4171</v>
      </c>
      <c r="J237" s="23" t="s">
        <v>3730</v>
      </c>
      <c r="K237" s="23" t="s">
        <v>4207</v>
      </c>
      <c r="L237" s="23" t="s">
        <v>4565</v>
      </c>
      <c r="M237" s="23" t="s">
        <v>4212</v>
      </c>
      <c r="S237" s="5"/>
    </row>
    <row r="238" spans="3:19" x14ac:dyDescent="0.2">
      <c r="C238" s="1145" t="s">
        <v>3330</v>
      </c>
      <c r="D238" s="1146"/>
      <c r="E238" s="1149"/>
      <c r="F238" s="1150"/>
      <c r="G238" s="443">
        <v>0</v>
      </c>
      <c r="H238" s="619"/>
      <c r="I238" s="620"/>
      <c r="J238" s="621"/>
      <c r="K238" s="621"/>
      <c r="L238" s="382"/>
      <c r="M238" s="202"/>
      <c r="S238" s="5"/>
    </row>
    <row r="239" spans="3:19" x14ac:dyDescent="0.2">
      <c r="C239" s="1145" t="s">
        <v>4852</v>
      </c>
      <c r="D239" s="1146"/>
      <c r="E239" s="1147" t="s">
        <v>4852</v>
      </c>
      <c r="F239" s="1148"/>
      <c r="G239" s="443">
        <v>0</v>
      </c>
      <c r="H239" s="366">
        <v>0.02</v>
      </c>
      <c r="I239" s="410">
        <f>IFERROR(IF(G239&gt;0,(-PMT(H239/12,K239*12,G239))*12,(0)),0)</f>
        <v>0</v>
      </c>
      <c r="J239" s="202"/>
      <c r="K239" s="202"/>
      <c r="L239" s="382"/>
      <c r="M239" s="202"/>
      <c r="S239" s="5"/>
    </row>
    <row r="240" spans="3:19" x14ac:dyDescent="0.2">
      <c r="C240" s="1145" t="s">
        <v>3992</v>
      </c>
      <c r="D240" s="1146"/>
      <c r="E240" s="1147" t="s">
        <v>3992</v>
      </c>
      <c r="F240" s="1148"/>
      <c r="G240" s="443">
        <v>0</v>
      </c>
      <c r="H240" s="159">
        <v>0</v>
      </c>
      <c r="I240" s="43">
        <v>0</v>
      </c>
      <c r="J240" s="35">
        <v>0</v>
      </c>
      <c r="K240" s="35">
        <v>0</v>
      </c>
      <c r="L240" s="382"/>
      <c r="M240" s="202"/>
      <c r="S240" s="5"/>
    </row>
    <row r="241" spans="1:19" x14ac:dyDescent="0.2">
      <c r="C241" s="1145" t="s">
        <v>3331</v>
      </c>
      <c r="D241" s="1146"/>
      <c r="E241" s="1149"/>
      <c r="F241" s="1150"/>
      <c r="G241" s="443">
        <v>0</v>
      </c>
      <c r="H241" s="159">
        <v>0</v>
      </c>
      <c r="I241" s="43">
        <v>0</v>
      </c>
      <c r="J241" s="35">
        <v>0</v>
      </c>
      <c r="K241" s="35">
        <v>0</v>
      </c>
      <c r="L241" s="382"/>
      <c r="M241" s="202"/>
      <c r="N241" s="5" t="str">
        <f>IF(G241&gt;0,"Residential Amt","")</f>
        <v/>
      </c>
      <c r="O241" s="349"/>
      <c r="S241" s="5"/>
    </row>
    <row r="242" spans="1:19" x14ac:dyDescent="0.2">
      <c r="C242" s="1145" t="s">
        <v>3332</v>
      </c>
      <c r="D242" s="1146"/>
      <c r="E242" s="1149"/>
      <c r="F242" s="1150"/>
      <c r="G242" s="443">
        <v>0</v>
      </c>
      <c r="H242" s="201">
        <v>0</v>
      </c>
      <c r="I242" s="410">
        <f t="shared" ref="I242:I249" si="13">IFERROR(IF(G242&gt;0,(-PMT(H242/12,K242*12,G242))*12,(0)),0)</f>
        <v>0</v>
      </c>
      <c r="J242" s="202"/>
      <c r="K242" s="202"/>
      <c r="L242" s="382"/>
      <c r="M242" s="202"/>
      <c r="N242" s="92" t="str">
        <f>IF(AND(G242&gt;0,K242=""),"AmTerm Cannot be Zero on Hard Debt","")</f>
        <v/>
      </c>
      <c r="S242" s="5"/>
    </row>
    <row r="243" spans="1:19" x14ac:dyDescent="0.2">
      <c r="C243" s="1145" t="s">
        <v>3946</v>
      </c>
      <c r="D243" s="1146"/>
      <c r="E243" s="1149"/>
      <c r="F243" s="1150"/>
      <c r="G243" s="443"/>
      <c r="H243" s="201">
        <v>0.06</v>
      </c>
      <c r="I243" s="410">
        <f t="shared" si="13"/>
        <v>0</v>
      </c>
      <c r="J243" s="202"/>
      <c r="K243" s="202"/>
      <c r="L243" s="382"/>
      <c r="M243" s="202"/>
      <c r="N243" s="92" t="str">
        <f>IF(AND(G243&gt;0,K243=""),"AmTerm Cannot be Zero on Hard Debt","")</f>
        <v/>
      </c>
      <c r="S243" s="5"/>
    </row>
    <row r="244" spans="1:19" x14ac:dyDescent="0.2">
      <c r="C244" s="1145" t="s">
        <v>3338</v>
      </c>
      <c r="D244" s="1146"/>
      <c r="E244" s="1149"/>
      <c r="F244" s="1150"/>
      <c r="G244" s="443">
        <v>0</v>
      </c>
      <c r="H244" s="201">
        <v>0</v>
      </c>
      <c r="I244" s="410">
        <f t="shared" si="13"/>
        <v>0</v>
      </c>
      <c r="J244" s="202"/>
      <c r="K244" s="202"/>
      <c r="L244" s="382"/>
      <c r="M244" s="202"/>
      <c r="N244" s="92" t="str">
        <f>IF(AND(G244&gt;0,K244=""),"AmTerm Cannot be Zero on Hard Debt","")</f>
        <v/>
      </c>
      <c r="S244" s="5"/>
    </row>
    <row r="245" spans="1:19" x14ac:dyDescent="0.2">
      <c r="C245" s="1145" t="s">
        <v>3303</v>
      </c>
      <c r="D245" s="1146"/>
      <c r="E245" s="1149"/>
      <c r="F245" s="1150"/>
      <c r="G245" s="443">
        <v>0</v>
      </c>
      <c r="H245" s="201">
        <v>0</v>
      </c>
      <c r="I245" s="410">
        <f t="shared" si="13"/>
        <v>0</v>
      </c>
      <c r="J245" s="202"/>
      <c r="K245" s="202"/>
      <c r="L245" s="382"/>
      <c r="M245" s="202"/>
      <c r="S245" s="5"/>
    </row>
    <row r="246" spans="1:19" x14ac:dyDescent="0.2">
      <c r="C246" s="1145" t="s">
        <v>3304</v>
      </c>
      <c r="D246" s="1146"/>
      <c r="E246" s="1149"/>
      <c r="F246" s="1150"/>
      <c r="G246" s="443">
        <v>0</v>
      </c>
      <c r="H246" s="201">
        <v>0</v>
      </c>
      <c r="I246" s="410">
        <f t="shared" si="13"/>
        <v>0</v>
      </c>
      <c r="J246" s="202"/>
      <c r="K246" s="202"/>
      <c r="L246" s="382"/>
      <c r="M246" s="202"/>
      <c r="S246" s="5"/>
    </row>
    <row r="247" spans="1:19" x14ac:dyDescent="0.2">
      <c r="C247" s="1145" t="s">
        <v>3306</v>
      </c>
      <c r="D247" s="1146"/>
      <c r="E247" s="1149"/>
      <c r="F247" s="1150"/>
      <c r="G247" s="443">
        <v>0</v>
      </c>
      <c r="H247" s="201">
        <v>0</v>
      </c>
      <c r="I247" s="410">
        <f t="shared" si="13"/>
        <v>0</v>
      </c>
      <c r="J247" s="202"/>
      <c r="K247" s="202"/>
      <c r="L247" s="382"/>
      <c r="M247" s="202"/>
      <c r="S247" s="5"/>
    </row>
    <row r="248" spans="1:19" x14ac:dyDescent="0.2">
      <c r="C248" s="1145" t="s">
        <v>3542</v>
      </c>
      <c r="D248" s="1146"/>
      <c r="E248" s="1149"/>
      <c r="F248" s="1150"/>
      <c r="G248" s="443">
        <v>0</v>
      </c>
      <c r="H248" s="201">
        <v>0</v>
      </c>
      <c r="I248" s="410">
        <f t="shared" si="13"/>
        <v>0</v>
      </c>
      <c r="J248" s="202"/>
      <c r="K248" s="202"/>
      <c r="L248" s="382"/>
      <c r="M248" s="202"/>
      <c r="S248" s="5"/>
    </row>
    <row r="249" spans="1:19" x14ac:dyDescent="0.2">
      <c r="C249" s="1145" t="s">
        <v>4051</v>
      </c>
      <c r="D249" s="1146"/>
      <c r="E249" s="1149"/>
      <c r="F249" s="1150"/>
      <c r="G249" s="443">
        <v>0</v>
      </c>
      <c r="H249" s="201">
        <v>0</v>
      </c>
      <c r="I249" s="410">
        <f t="shared" si="13"/>
        <v>0</v>
      </c>
      <c r="J249" s="202"/>
      <c r="K249" s="202"/>
      <c r="L249" s="382"/>
      <c r="M249" s="202"/>
      <c r="S249" s="5"/>
    </row>
    <row r="250" spans="1:19" x14ac:dyDescent="0.2">
      <c r="G250" s="444">
        <f>SUM(G238:G249)</f>
        <v>0</v>
      </c>
      <c r="I250" s="43">
        <f>SUM(I238:I249)</f>
        <v>0</v>
      </c>
    </row>
    <row r="252" spans="1:19" s="197" customFormat="1" ht="24.95" customHeight="1" x14ac:dyDescent="0.2">
      <c r="A252" s="740" t="s">
        <v>3341</v>
      </c>
      <c r="B252" s="187"/>
      <c r="C252" s="187"/>
      <c r="D252" s="187"/>
      <c r="E252" s="187"/>
      <c r="F252" s="187"/>
      <c r="G252" s="187"/>
      <c r="H252" s="187"/>
      <c r="I252" s="187"/>
      <c r="J252" s="187"/>
      <c r="K252" s="187"/>
      <c r="L252" s="187"/>
      <c r="M252" s="187"/>
      <c r="N252" s="187"/>
      <c r="O252" s="187"/>
      <c r="P252" s="187"/>
      <c r="Q252" s="187"/>
      <c r="R252" s="187"/>
    </row>
    <row r="253" spans="1:19" s="213" customFormat="1" ht="30" customHeight="1" x14ac:dyDescent="0.25">
      <c r="A253" s="6"/>
      <c r="B253" s="62"/>
      <c r="C253" s="1153" t="s">
        <v>4166</v>
      </c>
      <c r="D253" s="1154"/>
      <c r="E253" s="1155"/>
      <c r="F253" s="57" t="s">
        <v>3342</v>
      </c>
      <c r="G253" s="57" t="s">
        <v>3124</v>
      </c>
      <c r="H253" s="57" t="s">
        <v>3123</v>
      </c>
      <c r="I253" s="57" t="s">
        <v>4164</v>
      </c>
      <c r="J253" s="57" t="s">
        <v>4045</v>
      </c>
      <c r="K253" s="57" t="s">
        <v>4165</v>
      </c>
      <c r="L253" s="57" t="s">
        <v>4047</v>
      </c>
      <c r="M253" s="5"/>
      <c r="N253" s="5"/>
      <c r="O253" s="5"/>
      <c r="P253" s="5"/>
      <c r="Q253" s="62"/>
      <c r="R253" s="62"/>
    </row>
    <row r="254" spans="1:19" ht="15" customHeight="1" x14ac:dyDescent="0.25">
      <c r="A254" s="6"/>
      <c r="B254" s="1096" t="s">
        <v>3342</v>
      </c>
      <c r="C254" s="1066" t="s">
        <v>3343</v>
      </c>
      <c r="D254" s="1067"/>
      <c r="E254" s="1068"/>
      <c r="F254" s="426"/>
      <c r="G254" s="427"/>
      <c r="H254" s="427"/>
      <c r="I254" s="428"/>
      <c r="J254" s="432">
        <f>SUM(F254:H254)</f>
        <v>0</v>
      </c>
      <c r="K254" s="432">
        <f>J254+I254</f>
        <v>0</v>
      </c>
      <c r="L254" s="432">
        <f>S335</f>
        <v>0</v>
      </c>
      <c r="M254" s="162" t="str">
        <f>IF(L254&lt;&gt;K254,"Caution: Does Not Match Uses","")</f>
        <v/>
      </c>
    </row>
    <row r="255" spans="1:19" ht="15" customHeight="1" x14ac:dyDescent="0.25">
      <c r="A255" s="6"/>
      <c r="B255" s="1097"/>
      <c r="C255" s="1066" t="s">
        <v>3344</v>
      </c>
      <c r="D255" s="1067"/>
      <c r="E255" s="1068"/>
      <c r="F255" s="426"/>
      <c r="G255" s="427"/>
      <c r="H255" s="427"/>
      <c r="I255" s="428"/>
      <c r="J255" s="432">
        <f>SUM(F255:H255)</f>
        <v>0</v>
      </c>
      <c r="K255" s="432">
        <f>J255+I255</f>
        <v>0</v>
      </c>
      <c r="L255" s="432">
        <f>S336</f>
        <v>0</v>
      </c>
      <c r="M255" s="162" t="str">
        <f>IF(L255&lt;&gt;K255,"Caution: Does Not Match Uses","")</f>
        <v/>
      </c>
    </row>
    <row r="256" spans="1:19" ht="15" customHeight="1" x14ac:dyDescent="0.25">
      <c r="A256" s="6"/>
      <c r="B256" s="1097"/>
      <c r="C256" s="1066" t="s">
        <v>3345</v>
      </c>
      <c r="D256" s="1067"/>
      <c r="E256" s="1068"/>
      <c r="F256" s="429"/>
      <c r="G256" s="427"/>
      <c r="H256" s="427"/>
      <c r="I256" s="428"/>
      <c r="J256" s="432">
        <f>SUM(F256:H256)</f>
        <v>0</v>
      </c>
      <c r="K256" s="432">
        <f>J256+I256</f>
        <v>0</v>
      </c>
      <c r="L256" s="432">
        <f>S337</f>
        <v>0</v>
      </c>
      <c r="M256" s="162" t="str">
        <f>IF(L256&lt;&gt;K256,"Caution: Does Not Match Uses","")</f>
        <v/>
      </c>
    </row>
    <row r="257" spans="1:13" ht="15" customHeight="1" x14ac:dyDescent="0.25">
      <c r="A257" s="6"/>
      <c r="B257" s="1097"/>
      <c r="C257" s="151" t="s">
        <v>4068</v>
      </c>
      <c r="D257" s="1123"/>
      <c r="E257" s="1124"/>
      <c r="F257" s="429"/>
      <c r="G257" s="427"/>
      <c r="H257" s="427"/>
      <c r="I257" s="428"/>
      <c r="J257" s="432">
        <f>SUM(F257:H257)</f>
        <v>0</v>
      </c>
      <c r="K257" s="432">
        <f>J257+I257</f>
        <v>0</v>
      </c>
      <c r="L257" s="432">
        <f>S338</f>
        <v>0</v>
      </c>
      <c r="M257" s="162" t="str">
        <f>IF(L257&lt;&gt;K257,"Caution: Does Not Match Uses","")</f>
        <v/>
      </c>
    </row>
    <row r="258" spans="1:13" ht="15" customHeight="1" x14ac:dyDescent="0.25">
      <c r="A258" s="6"/>
      <c r="B258" s="1098"/>
      <c r="C258" s="151" t="s">
        <v>4068</v>
      </c>
      <c r="D258" s="1123"/>
      <c r="E258" s="1124"/>
      <c r="F258" s="430"/>
      <c r="G258" s="431"/>
      <c r="H258" s="431"/>
      <c r="I258" s="428"/>
      <c r="J258" s="432">
        <f>SUM(F258:H258)</f>
        <v>0</v>
      </c>
      <c r="K258" s="432">
        <f>J258+I258</f>
        <v>0</v>
      </c>
      <c r="L258" s="432">
        <f>S339</f>
        <v>0</v>
      </c>
      <c r="M258" s="162" t="str">
        <f>IF(L258&lt;&gt;K258,"Caution: Does Not Match Uses","")</f>
        <v/>
      </c>
    </row>
    <row r="259" spans="1:13" ht="15" customHeight="1" x14ac:dyDescent="0.25">
      <c r="A259" s="6"/>
      <c r="B259" s="62"/>
      <c r="C259" s="63"/>
      <c r="D259" s="64"/>
      <c r="E259" s="64"/>
      <c r="F259" s="65"/>
      <c r="G259" s="65"/>
      <c r="H259" s="65"/>
      <c r="I259" s="65"/>
      <c r="J259" s="142"/>
      <c r="K259" s="142"/>
      <c r="L259" s="143"/>
      <c r="M259" s="162"/>
    </row>
    <row r="260" spans="1:13" ht="15" customHeight="1" x14ac:dyDescent="0.25">
      <c r="A260" s="6"/>
      <c r="B260" s="1096" t="s">
        <v>3874</v>
      </c>
      <c r="C260" s="1105" t="s">
        <v>3346</v>
      </c>
      <c r="D260" s="1106"/>
      <c r="E260" s="1107"/>
      <c r="F260" s="429"/>
      <c r="G260" s="428"/>
      <c r="H260" s="428"/>
      <c r="I260" s="428"/>
      <c r="J260" s="432">
        <f t="shared" ref="J260:J268" si="14">SUM(F260:H260)</f>
        <v>0</v>
      </c>
      <c r="K260" s="432">
        <f t="shared" ref="K260:K268" si="15">J260+I260</f>
        <v>0</v>
      </c>
      <c r="L260" s="432">
        <f t="shared" ref="L260:L268" si="16">S341</f>
        <v>0</v>
      </c>
      <c r="M260" s="162" t="str">
        <f t="shared" ref="M260:M268" si="17">IF(L260&lt;&gt;K260,"Caution: Does Not Match Uses","")</f>
        <v/>
      </c>
    </row>
    <row r="261" spans="1:13" ht="15" customHeight="1" x14ac:dyDescent="0.25">
      <c r="A261" s="6"/>
      <c r="B261" s="1097"/>
      <c r="C261" s="1105" t="s">
        <v>3347</v>
      </c>
      <c r="D261" s="1106"/>
      <c r="E261" s="1107"/>
      <c r="F261" s="429"/>
      <c r="G261" s="428"/>
      <c r="H261" s="428"/>
      <c r="I261" s="428"/>
      <c r="J261" s="432">
        <f t="shared" si="14"/>
        <v>0</v>
      </c>
      <c r="K261" s="432">
        <f t="shared" si="15"/>
        <v>0</v>
      </c>
      <c r="L261" s="432">
        <f t="shared" si="16"/>
        <v>0</v>
      </c>
      <c r="M261" s="162" t="str">
        <f t="shared" si="17"/>
        <v/>
      </c>
    </row>
    <row r="262" spans="1:13" ht="15" customHeight="1" x14ac:dyDescent="0.25">
      <c r="A262" s="6"/>
      <c r="B262" s="1097"/>
      <c r="C262" s="1105" t="s">
        <v>3348</v>
      </c>
      <c r="D262" s="1106"/>
      <c r="E262" s="1107"/>
      <c r="F262" s="429"/>
      <c r="G262" s="428"/>
      <c r="H262" s="428"/>
      <c r="I262" s="428"/>
      <c r="J262" s="432">
        <f t="shared" si="14"/>
        <v>0</v>
      </c>
      <c r="K262" s="432">
        <f t="shared" si="15"/>
        <v>0</v>
      </c>
      <c r="L262" s="432">
        <f t="shared" si="16"/>
        <v>0</v>
      </c>
      <c r="M262" s="162" t="str">
        <f t="shared" si="17"/>
        <v/>
      </c>
    </row>
    <row r="263" spans="1:13" ht="15" customHeight="1" x14ac:dyDescent="0.25">
      <c r="A263" s="6"/>
      <c r="B263" s="1097"/>
      <c r="C263" s="1105" t="s">
        <v>3349</v>
      </c>
      <c r="D263" s="1106"/>
      <c r="E263" s="1107"/>
      <c r="F263" s="429"/>
      <c r="G263" s="428"/>
      <c r="H263" s="428"/>
      <c r="I263" s="428"/>
      <c r="J263" s="432">
        <f t="shared" si="14"/>
        <v>0</v>
      </c>
      <c r="K263" s="432">
        <f t="shared" si="15"/>
        <v>0</v>
      </c>
      <c r="L263" s="432">
        <f t="shared" si="16"/>
        <v>0</v>
      </c>
      <c r="M263" s="162" t="str">
        <f t="shared" si="17"/>
        <v/>
      </c>
    </row>
    <row r="264" spans="1:13" ht="15" customHeight="1" x14ac:dyDescent="0.25">
      <c r="A264" s="6"/>
      <c r="B264" s="1097"/>
      <c r="C264" s="1105" t="s">
        <v>3350</v>
      </c>
      <c r="D264" s="1106"/>
      <c r="E264" s="1107"/>
      <c r="F264" s="429"/>
      <c r="G264" s="428"/>
      <c r="H264" s="428"/>
      <c r="I264" s="428"/>
      <c r="J264" s="432">
        <f t="shared" si="14"/>
        <v>0</v>
      </c>
      <c r="K264" s="432">
        <f t="shared" si="15"/>
        <v>0</v>
      </c>
      <c r="L264" s="432">
        <f t="shared" si="16"/>
        <v>0</v>
      </c>
      <c r="M264" s="162" t="str">
        <f t="shared" si="17"/>
        <v/>
      </c>
    </row>
    <row r="265" spans="1:13" ht="15" customHeight="1" x14ac:dyDescent="0.25">
      <c r="A265" s="6"/>
      <c r="B265" s="1097"/>
      <c r="C265" s="1105" t="s">
        <v>3351</v>
      </c>
      <c r="D265" s="1106"/>
      <c r="E265" s="1107"/>
      <c r="F265" s="429"/>
      <c r="G265" s="428"/>
      <c r="H265" s="428"/>
      <c r="I265" s="428"/>
      <c r="J265" s="432">
        <f t="shared" si="14"/>
        <v>0</v>
      </c>
      <c r="K265" s="432">
        <f t="shared" si="15"/>
        <v>0</v>
      </c>
      <c r="L265" s="432">
        <f t="shared" si="16"/>
        <v>0</v>
      </c>
      <c r="M265" s="162" t="str">
        <f t="shared" si="17"/>
        <v/>
      </c>
    </row>
    <row r="266" spans="1:13" ht="15" customHeight="1" x14ac:dyDescent="0.25">
      <c r="A266" s="6"/>
      <c r="B266" s="1097"/>
      <c r="C266" s="1105" t="s">
        <v>3352</v>
      </c>
      <c r="D266" s="1106"/>
      <c r="E266" s="1107"/>
      <c r="F266" s="429"/>
      <c r="G266" s="428"/>
      <c r="H266" s="428"/>
      <c r="I266" s="428"/>
      <c r="J266" s="432">
        <f t="shared" si="14"/>
        <v>0</v>
      </c>
      <c r="K266" s="432">
        <f t="shared" si="15"/>
        <v>0</v>
      </c>
      <c r="L266" s="432">
        <f t="shared" si="16"/>
        <v>0</v>
      </c>
      <c r="M266" s="162" t="str">
        <f t="shared" si="17"/>
        <v/>
      </c>
    </row>
    <row r="267" spans="1:13" ht="15" customHeight="1" x14ac:dyDescent="0.25">
      <c r="A267" s="6"/>
      <c r="B267" s="1097"/>
      <c r="C267" s="154" t="s">
        <v>4068</v>
      </c>
      <c r="D267" s="1156"/>
      <c r="E267" s="1157"/>
      <c r="F267" s="429"/>
      <c r="G267" s="428"/>
      <c r="H267" s="428"/>
      <c r="I267" s="428"/>
      <c r="J267" s="432">
        <f t="shared" si="14"/>
        <v>0</v>
      </c>
      <c r="K267" s="432">
        <f t="shared" si="15"/>
        <v>0</v>
      </c>
      <c r="L267" s="432">
        <f t="shared" si="16"/>
        <v>0</v>
      </c>
      <c r="M267" s="162" t="str">
        <f t="shared" si="17"/>
        <v/>
      </c>
    </row>
    <row r="268" spans="1:13" ht="15" customHeight="1" x14ac:dyDescent="0.25">
      <c r="A268" s="6"/>
      <c r="B268" s="1098"/>
      <c r="C268" s="154" t="s">
        <v>4068</v>
      </c>
      <c r="D268" s="1156"/>
      <c r="E268" s="1157"/>
      <c r="F268" s="430"/>
      <c r="G268" s="433"/>
      <c r="H268" s="433"/>
      <c r="I268" s="433"/>
      <c r="J268" s="432">
        <f t="shared" si="14"/>
        <v>0</v>
      </c>
      <c r="K268" s="432">
        <f t="shared" si="15"/>
        <v>0</v>
      </c>
      <c r="L268" s="432">
        <f t="shared" si="16"/>
        <v>0</v>
      </c>
      <c r="M268" s="162" t="str">
        <f t="shared" si="17"/>
        <v/>
      </c>
    </row>
    <row r="269" spans="1:13" ht="15" customHeight="1" x14ac:dyDescent="0.25">
      <c r="A269" s="6"/>
      <c r="B269" s="62"/>
      <c r="C269" s="63"/>
      <c r="D269" s="64"/>
      <c r="E269" s="64"/>
      <c r="F269" s="64"/>
      <c r="G269" s="64"/>
      <c r="H269" s="64"/>
      <c r="I269" s="64"/>
      <c r="J269" s="142"/>
      <c r="K269" s="142"/>
      <c r="L269" s="143"/>
      <c r="M269" s="162"/>
    </row>
    <row r="270" spans="1:13" ht="15" customHeight="1" x14ac:dyDescent="0.25">
      <c r="A270" s="6"/>
      <c r="B270" s="1096" t="s">
        <v>3384</v>
      </c>
      <c r="C270" s="1093" t="s">
        <v>3353</v>
      </c>
      <c r="D270" s="1094"/>
      <c r="E270" s="1095"/>
      <c r="F270" s="426"/>
      <c r="G270" s="428"/>
      <c r="H270" s="428"/>
      <c r="I270" s="428"/>
      <c r="J270" s="432">
        <f t="shared" ref="J270:J275" si="18">SUM(F270:H270)</f>
        <v>0</v>
      </c>
      <c r="K270" s="432">
        <f t="shared" ref="K270:K275" si="19">J270+I270</f>
        <v>0</v>
      </c>
      <c r="L270" s="432">
        <f t="shared" ref="L270:L275" si="20">S351</f>
        <v>0</v>
      </c>
      <c r="M270" s="162" t="str">
        <f t="shared" ref="M270:M275" si="21">IF(L270&lt;&gt;K270,"Caution: Does Not Match Uses","")</f>
        <v/>
      </c>
    </row>
    <row r="271" spans="1:13" ht="15" customHeight="1" x14ac:dyDescent="0.25">
      <c r="A271" s="6"/>
      <c r="B271" s="1097"/>
      <c r="C271" s="1066" t="s">
        <v>3354</v>
      </c>
      <c r="D271" s="1067"/>
      <c r="E271" s="1068"/>
      <c r="F271" s="426"/>
      <c r="G271" s="427"/>
      <c r="H271" s="427"/>
      <c r="I271" s="428"/>
      <c r="J271" s="432">
        <f t="shared" si="18"/>
        <v>0</v>
      </c>
      <c r="K271" s="432">
        <f t="shared" si="19"/>
        <v>0</v>
      </c>
      <c r="L271" s="432">
        <f t="shared" si="20"/>
        <v>0</v>
      </c>
      <c r="M271" s="162" t="str">
        <f t="shared" si="21"/>
        <v/>
      </c>
    </row>
    <row r="272" spans="1:13" ht="15" customHeight="1" x14ac:dyDescent="0.25">
      <c r="A272" s="6"/>
      <c r="B272" s="1097"/>
      <c r="C272" s="1093" t="s">
        <v>3355</v>
      </c>
      <c r="D272" s="1094"/>
      <c r="E272" s="1095"/>
      <c r="F272" s="426"/>
      <c r="G272" s="428"/>
      <c r="H272" s="428"/>
      <c r="I272" s="428"/>
      <c r="J272" s="432">
        <f t="shared" si="18"/>
        <v>0</v>
      </c>
      <c r="K272" s="432">
        <f t="shared" si="19"/>
        <v>0</v>
      </c>
      <c r="L272" s="432">
        <f t="shared" si="20"/>
        <v>0</v>
      </c>
      <c r="M272" s="162" t="str">
        <f t="shared" si="21"/>
        <v/>
      </c>
    </row>
    <row r="273" spans="1:13" ht="15" customHeight="1" x14ac:dyDescent="0.25">
      <c r="A273" s="6"/>
      <c r="B273" s="1097"/>
      <c r="C273" s="1066" t="s">
        <v>4167</v>
      </c>
      <c r="D273" s="1067"/>
      <c r="E273" s="1068"/>
      <c r="F273" s="426"/>
      <c r="G273" s="428"/>
      <c r="H273" s="428"/>
      <c r="I273" s="428"/>
      <c r="J273" s="432">
        <f t="shared" si="18"/>
        <v>0</v>
      </c>
      <c r="K273" s="432">
        <f t="shared" si="19"/>
        <v>0</v>
      </c>
      <c r="L273" s="432">
        <f t="shared" si="20"/>
        <v>0</v>
      </c>
      <c r="M273" s="162" t="str">
        <f t="shared" si="21"/>
        <v/>
      </c>
    </row>
    <row r="274" spans="1:13" ht="15" customHeight="1" x14ac:dyDescent="0.25">
      <c r="A274" s="6"/>
      <c r="B274" s="1097"/>
      <c r="C274" s="151" t="s">
        <v>4068</v>
      </c>
      <c r="D274" s="1123"/>
      <c r="E274" s="1124"/>
      <c r="F274" s="426"/>
      <c r="G274" s="428"/>
      <c r="H274" s="428"/>
      <c r="I274" s="428"/>
      <c r="J274" s="432">
        <f t="shared" si="18"/>
        <v>0</v>
      </c>
      <c r="K274" s="432">
        <f t="shared" si="19"/>
        <v>0</v>
      </c>
      <c r="L274" s="432">
        <f t="shared" si="20"/>
        <v>0</v>
      </c>
      <c r="M274" s="162" t="str">
        <f t="shared" si="21"/>
        <v/>
      </c>
    </row>
    <row r="275" spans="1:13" ht="15" customHeight="1" x14ac:dyDescent="0.25">
      <c r="A275" s="6"/>
      <c r="B275" s="1098"/>
      <c r="C275" s="151" t="s">
        <v>4068</v>
      </c>
      <c r="D275" s="1123"/>
      <c r="E275" s="1124"/>
      <c r="F275" s="434"/>
      <c r="G275" s="433"/>
      <c r="H275" s="433"/>
      <c r="I275" s="428"/>
      <c r="J275" s="432">
        <f t="shared" si="18"/>
        <v>0</v>
      </c>
      <c r="K275" s="432">
        <f t="shared" si="19"/>
        <v>0</v>
      </c>
      <c r="L275" s="432">
        <f t="shared" si="20"/>
        <v>0</v>
      </c>
      <c r="M275" s="162" t="str">
        <f t="shared" si="21"/>
        <v/>
      </c>
    </row>
    <row r="276" spans="1:13" ht="15" customHeight="1" x14ac:dyDescent="0.25">
      <c r="A276" s="6"/>
      <c r="B276" s="62"/>
      <c r="C276" s="63"/>
      <c r="D276" s="64"/>
      <c r="E276" s="64"/>
      <c r="F276" s="64"/>
      <c r="G276" s="64"/>
      <c r="H276" s="64"/>
      <c r="I276" s="64"/>
      <c r="J276" s="142"/>
      <c r="K276" s="142"/>
      <c r="L276" s="143"/>
      <c r="M276" s="162"/>
    </row>
    <row r="277" spans="1:13" ht="15" customHeight="1" x14ac:dyDescent="0.25">
      <c r="A277" s="6"/>
      <c r="B277" s="1096" t="s">
        <v>3385</v>
      </c>
      <c r="C277" s="1066" t="s">
        <v>3356</v>
      </c>
      <c r="D277" s="1067"/>
      <c r="E277" s="1068"/>
      <c r="F277" s="426"/>
      <c r="G277" s="428"/>
      <c r="H277" s="428"/>
      <c r="I277" s="428"/>
      <c r="J277" s="432">
        <f t="shared" ref="J277:J290" si="22">SUM(F277:H277)</f>
        <v>0</v>
      </c>
      <c r="K277" s="432">
        <f t="shared" ref="K277:K290" si="23">J277+I277</f>
        <v>0</v>
      </c>
      <c r="L277" s="432">
        <f t="shared" ref="L277:L290" si="24">S358</f>
        <v>0</v>
      </c>
      <c r="M277" s="162" t="str">
        <f t="shared" ref="M277:M290" si="25">IF(L277&lt;&gt;K277,"Caution: Does Not Match Uses","")</f>
        <v/>
      </c>
    </row>
    <row r="278" spans="1:13" ht="15" customHeight="1" x14ac:dyDescent="0.25">
      <c r="A278" s="6"/>
      <c r="B278" s="1097"/>
      <c r="C278" s="1066" t="s">
        <v>3357</v>
      </c>
      <c r="D278" s="1067"/>
      <c r="E278" s="1068"/>
      <c r="F278" s="429"/>
      <c r="G278" s="428"/>
      <c r="H278" s="428"/>
      <c r="I278" s="428"/>
      <c r="J278" s="432">
        <f t="shared" si="22"/>
        <v>0</v>
      </c>
      <c r="K278" s="432">
        <f t="shared" si="23"/>
        <v>0</v>
      </c>
      <c r="L278" s="432">
        <f t="shared" si="24"/>
        <v>0</v>
      </c>
      <c r="M278" s="162" t="str">
        <f t="shared" si="25"/>
        <v/>
      </c>
    </row>
    <row r="279" spans="1:13" ht="15" customHeight="1" x14ac:dyDescent="0.25">
      <c r="A279" s="6"/>
      <c r="B279" s="1097"/>
      <c r="C279" s="1066" t="s">
        <v>3358</v>
      </c>
      <c r="D279" s="1067"/>
      <c r="E279" s="1068"/>
      <c r="F279" s="429"/>
      <c r="G279" s="428"/>
      <c r="H279" s="428"/>
      <c r="I279" s="428"/>
      <c r="J279" s="432">
        <f t="shared" si="22"/>
        <v>0</v>
      </c>
      <c r="K279" s="432">
        <f t="shared" si="23"/>
        <v>0</v>
      </c>
      <c r="L279" s="432">
        <f t="shared" si="24"/>
        <v>0</v>
      </c>
      <c r="M279" s="162" t="str">
        <f t="shared" si="25"/>
        <v/>
      </c>
    </row>
    <row r="280" spans="1:13" ht="15" customHeight="1" x14ac:dyDescent="0.25">
      <c r="A280" s="6"/>
      <c r="B280" s="1097"/>
      <c r="C280" s="1066" t="s">
        <v>3390</v>
      </c>
      <c r="D280" s="1067"/>
      <c r="E280" s="1068"/>
      <c r="F280" s="426"/>
      <c r="G280" s="427"/>
      <c r="H280" s="427"/>
      <c r="I280" s="428"/>
      <c r="J280" s="432">
        <f t="shared" si="22"/>
        <v>0</v>
      </c>
      <c r="K280" s="432">
        <f t="shared" si="23"/>
        <v>0</v>
      </c>
      <c r="L280" s="432">
        <f t="shared" si="24"/>
        <v>0</v>
      </c>
      <c r="M280" s="162" t="str">
        <f t="shared" si="25"/>
        <v/>
      </c>
    </row>
    <row r="281" spans="1:13" ht="15" customHeight="1" x14ac:dyDescent="0.25">
      <c r="A281" s="6"/>
      <c r="B281" s="1097"/>
      <c r="C281" s="1093" t="s">
        <v>3359</v>
      </c>
      <c r="D281" s="1094"/>
      <c r="E281" s="1095"/>
      <c r="F281" s="426"/>
      <c r="G281" s="427"/>
      <c r="H281" s="428"/>
      <c r="I281" s="428"/>
      <c r="J281" s="432">
        <f t="shared" si="22"/>
        <v>0</v>
      </c>
      <c r="K281" s="432">
        <f t="shared" si="23"/>
        <v>0</v>
      </c>
      <c r="L281" s="432">
        <f t="shared" si="24"/>
        <v>0</v>
      </c>
      <c r="M281" s="162" t="str">
        <f t="shared" si="25"/>
        <v/>
      </c>
    </row>
    <row r="282" spans="1:13" ht="15" customHeight="1" x14ac:dyDescent="0.25">
      <c r="A282" s="6"/>
      <c r="B282" s="1097"/>
      <c r="C282" s="1093" t="s">
        <v>3360</v>
      </c>
      <c r="D282" s="1094"/>
      <c r="E282" s="1095"/>
      <c r="F282" s="426"/>
      <c r="G282" s="428"/>
      <c r="H282" s="427"/>
      <c r="I282" s="428"/>
      <c r="J282" s="432">
        <f t="shared" si="22"/>
        <v>0</v>
      </c>
      <c r="K282" s="432">
        <f t="shared" si="23"/>
        <v>0</v>
      </c>
      <c r="L282" s="432">
        <f t="shared" si="24"/>
        <v>0</v>
      </c>
      <c r="M282" s="162" t="str">
        <f t="shared" si="25"/>
        <v/>
      </c>
    </row>
    <row r="283" spans="1:13" ht="15" customHeight="1" x14ac:dyDescent="0.25">
      <c r="A283" s="6"/>
      <c r="B283" s="1097"/>
      <c r="C283" s="1093" t="s">
        <v>3361</v>
      </c>
      <c r="D283" s="1094"/>
      <c r="E283" s="1095"/>
      <c r="F283" s="426"/>
      <c r="G283" s="427"/>
      <c r="H283" s="427"/>
      <c r="I283" s="428"/>
      <c r="J283" s="432">
        <f t="shared" si="22"/>
        <v>0</v>
      </c>
      <c r="K283" s="432">
        <f t="shared" si="23"/>
        <v>0</v>
      </c>
      <c r="L283" s="432">
        <f t="shared" si="24"/>
        <v>0</v>
      </c>
      <c r="M283" s="162" t="str">
        <f t="shared" si="25"/>
        <v/>
      </c>
    </row>
    <row r="284" spans="1:13" ht="15" customHeight="1" x14ac:dyDescent="0.25">
      <c r="A284" s="6"/>
      <c r="B284" s="1097"/>
      <c r="C284" s="1093" t="s">
        <v>3362</v>
      </c>
      <c r="D284" s="1094"/>
      <c r="E284" s="1095"/>
      <c r="F284" s="426"/>
      <c r="G284" s="427"/>
      <c r="H284" s="427"/>
      <c r="I284" s="428"/>
      <c r="J284" s="432">
        <f t="shared" si="22"/>
        <v>0</v>
      </c>
      <c r="K284" s="432">
        <f t="shared" si="23"/>
        <v>0</v>
      </c>
      <c r="L284" s="432">
        <f t="shared" si="24"/>
        <v>0</v>
      </c>
      <c r="M284" s="162" t="str">
        <f t="shared" si="25"/>
        <v/>
      </c>
    </row>
    <row r="285" spans="1:13" ht="15" customHeight="1" x14ac:dyDescent="0.25">
      <c r="A285" s="6"/>
      <c r="B285" s="1097"/>
      <c r="C285" s="1093" t="s">
        <v>3363</v>
      </c>
      <c r="D285" s="1094"/>
      <c r="E285" s="1095"/>
      <c r="F285" s="426"/>
      <c r="G285" s="428"/>
      <c r="H285" s="428"/>
      <c r="I285" s="428"/>
      <c r="J285" s="432">
        <f t="shared" si="22"/>
        <v>0</v>
      </c>
      <c r="K285" s="432">
        <f t="shared" si="23"/>
        <v>0</v>
      </c>
      <c r="L285" s="432">
        <f t="shared" si="24"/>
        <v>0</v>
      </c>
      <c r="M285" s="162" t="str">
        <f t="shared" si="25"/>
        <v/>
      </c>
    </row>
    <row r="286" spans="1:13" ht="15" customHeight="1" x14ac:dyDescent="0.25">
      <c r="A286" s="6"/>
      <c r="B286" s="1097"/>
      <c r="C286" s="1093" t="s">
        <v>3364</v>
      </c>
      <c r="D286" s="1094"/>
      <c r="E286" s="1095"/>
      <c r="F286" s="426"/>
      <c r="G286" s="428"/>
      <c r="H286" s="428"/>
      <c r="I286" s="428"/>
      <c r="J286" s="432">
        <f t="shared" si="22"/>
        <v>0</v>
      </c>
      <c r="K286" s="432">
        <f t="shared" si="23"/>
        <v>0</v>
      </c>
      <c r="L286" s="432">
        <f t="shared" si="24"/>
        <v>0</v>
      </c>
      <c r="M286" s="162" t="str">
        <f t="shared" si="25"/>
        <v/>
      </c>
    </row>
    <row r="287" spans="1:13" ht="15" customHeight="1" x14ac:dyDescent="0.25">
      <c r="A287" s="6"/>
      <c r="B287" s="1097"/>
      <c r="C287" s="1066" t="s">
        <v>3365</v>
      </c>
      <c r="D287" s="1067"/>
      <c r="E287" s="1068"/>
      <c r="F287" s="426"/>
      <c r="G287" s="428"/>
      <c r="H287" s="428"/>
      <c r="I287" s="428"/>
      <c r="J287" s="432">
        <f t="shared" si="22"/>
        <v>0</v>
      </c>
      <c r="K287" s="432">
        <f t="shared" si="23"/>
        <v>0</v>
      </c>
      <c r="L287" s="432">
        <f t="shared" si="24"/>
        <v>0</v>
      </c>
      <c r="M287" s="162" t="str">
        <f t="shared" si="25"/>
        <v/>
      </c>
    </row>
    <row r="288" spans="1:13" ht="15" customHeight="1" x14ac:dyDescent="0.25">
      <c r="A288" s="6"/>
      <c r="B288" s="1097"/>
      <c r="C288" s="1066" t="s">
        <v>3366</v>
      </c>
      <c r="D288" s="1067"/>
      <c r="E288" s="1068"/>
      <c r="F288" s="429"/>
      <c r="G288" s="428"/>
      <c r="H288" s="428"/>
      <c r="I288" s="428"/>
      <c r="J288" s="432">
        <f t="shared" si="22"/>
        <v>0</v>
      </c>
      <c r="K288" s="432">
        <f t="shared" si="23"/>
        <v>0</v>
      </c>
      <c r="L288" s="432">
        <f t="shared" si="24"/>
        <v>0</v>
      </c>
      <c r="M288" s="162" t="str">
        <f t="shared" si="25"/>
        <v/>
      </c>
    </row>
    <row r="289" spans="1:13" ht="15" customHeight="1" x14ac:dyDescent="0.25">
      <c r="A289" s="6"/>
      <c r="B289" s="1097"/>
      <c r="C289" s="151" t="s">
        <v>4068</v>
      </c>
      <c r="D289" s="1123"/>
      <c r="E289" s="1124"/>
      <c r="F289" s="426"/>
      <c r="G289" s="428"/>
      <c r="H289" s="428"/>
      <c r="I289" s="428"/>
      <c r="J289" s="432">
        <f t="shared" si="22"/>
        <v>0</v>
      </c>
      <c r="K289" s="432">
        <f t="shared" si="23"/>
        <v>0</v>
      </c>
      <c r="L289" s="432">
        <f t="shared" si="24"/>
        <v>0</v>
      </c>
      <c r="M289" s="162" t="str">
        <f t="shared" si="25"/>
        <v/>
      </c>
    </row>
    <row r="290" spans="1:13" ht="15" customHeight="1" x14ac:dyDescent="0.25">
      <c r="A290" s="6"/>
      <c r="B290" s="1098"/>
      <c r="C290" s="151" t="s">
        <v>4068</v>
      </c>
      <c r="D290" s="1123"/>
      <c r="E290" s="1124"/>
      <c r="F290" s="434"/>
      <c r="G290" s="433"/>
      <c r="H290" s="433"/>
      <c r="I290" s="428"/>
      <c r="J290" s="432">
        <f t="shared" si="22"/>
        <v>0</v>
      </c>
      <c r="K290" s="432">
        <f t="shared" si="23"/>
        <v>0</v>
      </c>
      <c r="L290" s="432">
        <f t="shared" si="24"/>
        <v>0</v>
      </c>
      <c r="M290" s="162" t="str">
        <f t="shared" si="25"/>
        <v/>
      </c>
    </row>
    <row r="291" spans="1:13" ht="15" customHeight="1" x14ac:dyDescent="0.25">
      <c r="A291" s="6"/>
      <c r="B291" s="62"/>
      <c r="C291" s="63"/>
      <c r="D291" s="64"/>
      <c r="E291" s="64"/>
      <c r="F291" s="64"/>
      <c r="G291" s="64"/>
      <c r="H291" s="64"/>
      <c r="I291" s="64"/>
      <c r="J291" s="142"/>
      <c r="K291" s="142"/>
      <c r="L291" s="143"/>
      <c r="M291" s="162"/>
    </row>
    <row r="292" spans="1:13" ht="15" customHeight="1" x14ac:dyDescent="0.25">
      <c r="A292" s="6"/>
      <c r="B292" s="1096" t="s">
        <v>3531</v>
      </c>
      <c r="C292" s="1066" t="s">
        <v>3367</v>
      </c>
      <c r="D292" s="1067"/>
      <c r="E292" s="1068"/>
      <c r="F292" s="426"/>
      <c r="G292" s="428"/>
      <c r="H292" s="428"/>
      <c r="I292" s="428"/>
      <c r="J292" s="432">
        <f t="shared" ref="J292:J301" si="26">SUM(F292:H292)</f>
        <v>0</v>
      </c>
      <c r="K292" s="432">
        <f t="shared" ref="K292:K301" si="27">J292+I292</f>
        <v>0</v>
      </c>
      <c r="L292" s="432">
        <f t="shared" ref="L292:L301" si="28">S373</f>
        <v>0</v>
      </c>
      <c r="M292" s="162" t="str">
        <f t="shared" ref="M292:M301" si="29">IF(L292&lt;&gt;K292,"Caution: Does Not Match Uses","")</f>
        <v/>
      </c>
    </row>
    <row r="293" spans="1:13" ht="15" customHeight="1" x14ac:dyDescent="0.25">
      <c r="A293" s="6"/>
      <c r="B293" s="1097"/>
      <c r="C293" s="1066" t="s">
        <v>3368</v>
      </c>
      <c r="D293" s="1067"/>
      <c r="E293" s="1068"/>
      <c r="F293" s="426"/>
      <c r="G293" s="428"/>
      <c r="H293" s="428"/>
      <c r="I293" s="428"/>
      <c r="J293" s="432">
        <f t="shared" si="26"/>
        <v>0</v>
      </c>
      <c r="K293" s="432">
        <f t="shared" si="27"/>
        <v>0</v>
      </c>
      <c r="L293" s="432">
        <f t="shared" si="28"/>
        <v>0</v>
      </c>
      <c r="M293" s="162" t="str">
        <f t="shared" si="29"/>
        <v/>
      </c>
    </row>
    <row r="294" spans="1:13" ht="15" customHeight="1" x14ac:dyDescent="0.25">
      <c r="A294" s="6"/>
      <c r="B294" s="1097"/>
      <c r="C294" s="1066" t="s">
        <v>3369</v>
      </c>
      <c r="D294" s="1067"/>
      <c r="E294" s="1068"/>
      <c r="F294" s="426"/>
      <c r="G294" s="428"/>
      <c r="H294" s="428"/>
      <c r="I294" s="428"/>
      <c r="J294" s="432">
        <f t="shared" si="26"/>
        <v>0</v>
      </c>
      <c r="K294" s="432">
        <f t="shared" si="27"/>
        <v>0</v>
      </c>
      <c r="L294" s="432">
        <f t="shared" si="28"/>
        <v>0</v>
      </c>
      <c r="M294" s="162" t="str">
        <f t="shared" si="29"/>
        <v/>
      </c>
    </row>
    <row r="295" spans="1:13" ht="15" customHeight="1" x14ac:dyDescent="0.25">
      <c r="A295" s="6"/>
      <c r="B295" s="1097"/>
      <c r="C295" s="1066" t="s">
        <v>3370</v>
      </c>
      <c r="D295" s="1067"/>
      <c r="E295" s="1068"/>
      <c r="F295" s="426"/>
      <c r="G295" s="427"/>
      <c r="H295" s="427"/>
      <c r="I295" s="428"/>
      <c r="J295" s="432">
        <f t="shared" si="26"/>
        <v>0</v>
      </c>
      <c r="K295" s="432">
        <f t="shared" si="27"/>
        <v>0</v>
      </c>
      <c r="L295" s="432">
        <f t="shared" si="28"/>
        <v>0</v>
      </c>
      <c r="M295" s="162" t="str">
        <f t="shared" si="29"/>
        <v/>
      </c>
    </row>
    <row r="296" spans="1:13" ht="15" customHeight="1" x14ac:dyDescent="0.25">
      <c r="A296" s="6"/>
      <c r="B296" s="1097"/>
      <c r="C296" s="1066" t="s">
        <v>3371</v>
      </c>
      <c r="D296" s="1067"/>
      <c r="E296" s="1068"/>
      <c r="F296" s="429"/>
      <c r="G296" s="428"/>
      <c r="H296" s="428"/>
      <c r="I296" s="428"/>
      <c r="J296" s="432">
        <f t="shared" si="26"/>
        <v>0</v>
      </c>
      <c r="K296" s="432">
        <f t="shared" si="27"/>
        <v>0</v>
      </c>
      <c r="L296" s="432">
        <f t="shared" si="28"/>
        <v>0</v>
      </c>
      <c r="M296" s="162" t="str">
        <f t="shared" si="29"/>
        <v/>
      </c>
    </row>
    <row r="297" spans="1:13" ht="15" customHeight="1" x14ac:dyDescent="0.25">
      <c r="A297" s="6"/>
      <c r="B297" s="1097"/>
      <c r="C297" s="1066" t="s">
        <v>3372</v>
      </c>
      <c r="D297" s="1067"/>
      <c r="E297" s="1068"/>
      <c r="F297" s="429"/>
      <c r="G297" s="428"/>
      <c r="H297" s="428"/>
      <c r="I297" s="428"/>
      <c r="J297" s="432">
        <f t="shared" si="26"/>
        <v>0</v>
      </c>
      <c r="K297" s="432">
        <f t="shared" si="27"/>
        <v>0</v>
      </c>
      <c r="L297" s="432">
        <f t="shared" si="28"/>
        <v>0</v>
      </c>
      <c r="M297" s="162" t="str">
        <f t="shared" si="29"/>
        <v/>
      </c>
    </row>
    <row r="298" spans="1:13" ht="15" customHeight="1" x14ac:dyDescent="0.25">
      <c r="A298" s="6"/>
      <c r="B298" s="1097"/>
      <c r="C298" s="1105" t="s">
        <v>3373</v>
      </c>
      <c r="D298" s="1106"/>
      <c r="E298" s="1107"/>
      <c r="F298" s="426"/>
      <c r="G298" s="427"/>
      <c r="H298" s="427"/>
      <c r="I298" s="428"/>
      <c r="J298" s="432">
        <f t="shared" si="26"/>
        <v>0</v>
      </c>
      <c r="K298" s="432">
        <f t="shared" si="27"/>
        <v>0</v>
      </c>
      <c r="L298" s="432">
        <f t="shared" si="28"/>
        <v>0</v>
      </c>
      <c r="M298" s="162" t="str">
        <f t="shared" si="29"/>
        <v/>
      </c>
    </row>
    <row r="299" spans="1:13" ht="15" customHeight="1" x14ac:dyDescent="0.25">
      <c r="A299" s="6"/>
      <c r="B299" s="1097"/>
      <c r="C299" s="1066" t="s">
        <v>4112</v>
      </c>
      <c r="D299" s="1067"/>
      <c r="E299" s="1068"/>
      <c r="F299" s="426"/>
      <c r="G299" s="431"/>
      <c r="H299" s="431"/>
      <c r="I299" s="433"/>
      <c r="J299" s="432">
        <f t="shared" si="26"/>
        <v>0</v>
      </c>
      <c r="K299" s="432">
        <f t="shared" si="27"/>
        <v>0</v>
      </c>
      <c r="L299" s="432">
        <f t="shared" si="28"/>
        <v>0</v>
      </c>
      <c r="M299" s="162" t="str">
        <f t="shared" si="29"/>
        <v/>
      </c>
    </row>
    <row r="300" spans="1:13" ht="15" customHeight="1" x14ac:dyDescent="0.25">
      <c r="A300" s="6"/>
      <c r="B300" s="1097"/>
      <c r="C300" s="151" t="s">
        <v>4068</v>
      </c>
      <c r="D300" s="1123"/>
      <c r="E300" s="1124"/>
      <c r="F300" s="429"/>
      <c r="G300" s="428"/>
      <c r="H300" s="428"/>
      <c r="I300" s="428"/>
      <c r="J300" s="432">
        <f t="shared" si="26"/>
        <v>0</v>
      </c>
      <c r="K300" s="432">
        <f t="shared" si="27"/>
        <v>0</v>
      </c>
      <c r="L300" s="432">
        <f t="shared" si="28"/>
        <v>0</v>
      </c>
      <c r="M300" s="162" t="str">
        <f t="shared" si="29"/>
        <v/>
      </c>
    </row>
    <row r="301" spans="1:13" ht="15" customHeight="1" x14ac:dyDescent="0.25">
      <c r="A301" s="6"/>
      <c r="B301" s="1098"/>
      <c r="C301" s="151" t="s">
        <v>4068</v>
      </c>
      <c r="D301" s="1123"/>
      <c r="E301" s="1124"/>
      <c r="F301" s="430"/>
      <c r="G301" s="433"/>
      <c r="H301" s="433"/>
      <c r="I301" s="433"/>
      <c r="J301" s="432">
        <f t="shared" si="26"/>
        <v>0</v>
      </c>
      <c r="K301" s="432">
        <f t="shared" si="27"/>
        <v>0</v>
      </c>
      <c r="L301" s="432">
        <f t="shared" si="28"/>
        <v>0</v>
      </c>
      <c r="M301" s="162" t="str">
        <f t="shared" si="29"/>
        <v/>
      </c>
    </row>
    <row r="302" spans="1:13" ht="15" customHeight="1" x14ac:dyDescent="0.25">
      <c r="A302" s="6"/>
      <c r="B302" s="62"/>
      <c r="C302" s="63"/>
      <c r="D302" s="64"/>
      <c r="E302" s="64"/>
      <c r="F302" s="64"/>
      <c r="G302" s="64"/>
      <c r="H302" s="64"/>
      <c r="I302" s="64"/>
      <c r="J302" s="142"/>
      <c r="K302" s="142"/>
      <c r="L302" s="143"/>
      <c r="M302" s="162"/>
    </row>
    <row r="303" spans="1:13" ht="15" customHeight="1" x14ac:dyDescent="0.25">
      <c r="A303" s="6"/>
      <c r="B303" s="1096" t="s">
        <v>3386</v>
      </c>
      <c r="C303" s="1105" t="s">
        <v>3374</v>
      </c>
      <c r="D303" s="1106"/>
      <c r="E303" s="1107"/>
      <c r="F303" s="429"/>
      <c r="G303" s="428"/>
      <c r="H303" s="428"/>
      <c r="I303" s="428"/>
      <c r="J303" s="432">
        <f t="shared" ref="J303:J314" si="30">SUM(F303:H303)</f>
        <v>0</v>
      </c>
      <c r="K303" s="432">
        <f t="shared" ref="K303:K314" si="31">J303+I303</f>
        <v>0</v>
      </c>
      <c r="L303" s="432">
        <f t="shared" ref="L303:L314" si="32">S384</f>
        <v>0</v>
      </c>
      <c r="M303" s="162" t="str">
        <f t="shared" ref="M303:M314" si="33">IF(L303&lt;&gt;K303,"Caution: Does Not Match Uses","")</f>
        <v/>
      </c>
    </row>
    <row r="304" spans="1:13" ht="15" customHeight="1" x14ac:dyDescent="0.25">
      <c r="A304" s="6"/>
      <c r="B304" s="1097"/>
      <c r="C304" s="1105" t="s">
        <v>3375</v>
      </c>
      <c r="D304" s="1106"/>
      <c r="E304" s="1107"/>
      <c r="F304" s="429"/>
      <c r="G304" s="428"/>
      <c r="H304" s="428"/>
      <c r="I304" s="428"/>
      <c r="J304" s="432">
        <f t="shared" si="30"/>
        <v>0</v>
      </c>
      <c r="K304" s="432">
        <f t="shared" si="31"/>
        <v>0</v>
      </c>
      <c r="L304" s="432">
        <f t="shared" si="32"/>
        <v>0</v>
      </c>
      <c r="M304" s="162" t="str">
        <f t="shared" si="33"/>
        <v/>
      </c>
    </row>
    <row r="305" spans="1:13" ht="15" customHeight="1" x14ac:dyDescent="0.25">
      <c r="A305" s="6"/>
      <c r="B305" s="1097"/>
      <c r="C305" s="1108" t="s">
        <v>4289</v>
      </c>
      <c r="D305" s="1109"/>
      <c r="E305" s="1110"/>
      <c r="F305" s="429"/>
      <c r="G305" s="429"/>
      <c r="H305" s="429"/>
      <c r="I305" s="429"/>
      <c r="J305" s="432">
        <f t="shared" si="30"/>
        <v>0</v>
      </c>
      <c r="K305" s="432">
        <f t="shared" si="31"/>
        <v>0</v>
      </c>
      <c r="L305" s="432">
        <f t="shared" si="32"/>
        <v>0</v>
      </c>
      <c r="M305" s="162" t="str">
        <f t="shared" si="33"/>
        <v/>
      </c>
    </row>
    <row r="306" spans="1:13" ht="15" customHeight="1" x14ac:dyDescent="0.25">
      <c r="A306" s="6"/>
      <c r="B306" s="1097"/>
      <c r="C306" s="1105" t="s">
        <v>4290</v>
      </c>
      <c r="D306" s="1106"/>
      <c r="E306" s="1107"/>
      <c r="F306" s="429"/>
      <c r="G306" s="428"/>
      <c r="H306" s="428"/>
      <c r="I306" s="428"/>
      <c r="J306" s="432">
        <f t="shared" si="30"/>
        <v>0</v>
      </c>
      <c r="K306" s="432">
        <f t="shared" si="31"/>
        <v>0</v>
      </c>
      <c r="L306" s="432">
        <f t="shared" si="32"/>
        <v>0</v>
      </c>
      <c r="M306" s="162" t="str">
        <f t="shared" si="33"/>
        <v/>
      </c>
    </row>
    <row r="307" spans="1:13" ht="15" customHeight="1" x14ac:dyDescent="0.25">
      <c r="A307" s="6"/>
      <c r="B307" s="1097"/>
      <c r="C307" s="131" t="s">
        <v>4291</v>
      </c>
      <c r="D307" s="132"/>
      <c r="E307" s="133"/>
      <c r="F307" s="429"/>
      <c r="G307" s="428"/>
      <c r="H307" s="428"/>
      <c r="I307" s="428"/>
      <c r="J307" s="432">
        <f t="shared" si="30"/>
        <v>0</v>
      </c>
      <c r="K307" s="432">
        <f t="shared" si="31"/>
        <v>0</v>
      </c>
      <c r="L307" s="432">
        <f t="shared" si="32"/>
        <v>0</v>
      </c>
      <c r="M307" s="162" t="str">
        <f t="shared" si="33"/>
        <v/>
      </c>
    </row>
    <row r="308" spans="1:13" ht="15" customHeight="1" x14ac:dyDescent="0.25">
      <c r="A308" s="6"/>
      <c r="B308" s="1097"/>
      <c r="C308" s="131" t="s">
        <v>4292</v>
      </c>
      <c r="D308" s="132"/>
      <c r="E308" s="133"/>
      <c r="F308" s="429"/>
      <c r="G308" s="428"/>
      <c r="H308" s="428"/>
      <c r="I308" s="428"/>
      <c r="J308" s="432">
        <f t="shared" si="30"/>
        <v>0</v>
      </c>
      <c r="K308" s="432">
        <f t="shared" si="31"/>
        <v>0</v>
      </c>
      <c r="L308" s="432">
        <f t="shared" si="32"/>
        <v>0</v>
      </c>
      <c r="M308" s="162" t="str">
        <f t="shared" si="33"/>
        <v/>
      </c>
    </row>
    <row r="309" spans="1:13" ht="15" customHeight="1" x14ac:dyDescent="0.25">
      <c r="A309" s="6"/>
      <c r="B309" s="1097"/>
      <c r="C309" s="131" t="s">
        <v>4293</v>
      </c>
      <c r="D309" s="132"/>
      <c r="E309" s="133"/>
      <c r="F309" s="429"/>
      <c r="G309" s="428"/>
      <c r="H309" s="428"/>
      <c r="I309" s="428"/>
      <c r="J309" s="432">
        <f t="shared" si="30"/>
        <v>0</v>
      </c>
      <c r="K309" s="432">
        <f t="shared" si="31"/>
        <v>0</v>
      </c>
      <c r="L309" s="432">
        <f t="shared" si="32"/>
        <v>0</v>
      </c>
      <c r="M309" s="162" t="str">
        <f t="shared" si="33"/>
        <v/>
      </c>
    </row>
    <row r="310" spans="1:13" ht="15" customHeight="1" x14ac:dyDescent="0.25">
      <c r="A310" s="6"/>
      <c r="B310" s="1097"/>
      <c r="C310" s="1105" t="s">
        <v>3376</v>
      </c>
      <c r="D310" s="1106"/>
      <c r="E310" s="1107"/>
      <c r="F310" s="426"/>
      <c r="G310" s="427"/>
      <c r="H310" s="427"/>
      <c r="I310" s="428"/>
      <c r="J310" s="432">
        <f t="shared" si="30"/>
        <v>0</v>
      </c>
      <c r="K310" s="432">
        <f t="shared" si="31"/>
        <v>0</v>
      </c>
      <c r="L310" s="432">
        <f t="shared" si="32"/>
        <v>0</v>
      </c>
      <c r="M310" s="162" t="str">
        <f t="shared" si="33"/>
        <v/>
      </c>
    </row>
    <row r="311" spans="1:13" ht="15" customHeight="1" x14ac:dyDescent="0.25">
      <c r="A311" s="6"/>
      <c r="B311" s="1097"/>
      <c r="C311" s="1105" t="s">
        <v>3377</v>
      </c>
      <c r="D311" s="1106"/>
      <c r="E311" s="1107"/>
      <c r="F311" s="426"/>
      <c r="G311" s="427"/>
      <c r="H311" s="427"/>
      <c r="I311" s="428"/>
      <c r="J311" s="432">
        <f t="shared" si="30"/>
        <v>0</v>
      </c>
      <c r="K311" s="432">
        <f t="shared" si="31"/>
        <v>0</v>
      </c>
      <c r="L311" s="432">
        <f t="shared" si="32"/>
        <v>0</v>
      </c>
      <c r="M311" s="162" t="str">
        <f t="shared" si="33"/>
        <v/>
      </c>
    </row>
    <row r="312" spans="1:13" ht="15" customHeight="1" x14ac:dyDescent="0.25">
      <c r="A312" s="6"/>
      <c r="B312" s="1097"/>
      <c r="C312" s="1105" t="s">
        <v>4294</v>
      </c>
      <c r="D312" s="1106"/>
      <c r="E312" s="1107"/>
      <c r="F312" s="426"/>
      <c r="G312" s="427"/>
      <c r="H312" s="427"/>
      <c r="I312" s="428"/>
      <c r="J312" s="432">
        <f t="shared" si="30"/>
        <v>0</v>
      </c>
      <c r="K312" s="432">
        <f t="shared" si="31"/>
        <v>0</v>
      </c>
      <c r="L312" s="432">
        <f t="shared" si="32"/>
        <v>0</v>
      </c>
      <c r="M312" s="162" t="str">
        <f t="shared" si="33"/>
        <v/>
      </c>
    </row>
    <row r="313" spans="1:13" ht="15" customHeight="1" x14ac:dyDescent="0.25">
      <c r="A313" s="6"/>
      <c r="B313" s="1097"/>
      <c r="C313" s="154" t="s">
        <v>4068</v>
      </c>
      <c r="D313" s="1156"/>
      <c r="E313" s="1157"/>
      <c r="F313" s="429"/>
      <c r="G313" s="428"/>
      <c r="H313" s="428"/>
      <c r="I313" s="428"/>
      <c r="J313" s="432">
        <f t="shared" si="30"/>
        <v>0</v>
      </c>
      <c r="K313" s="432">
        <f t="shared" si="31"/>
        <v>0</v>
      </c>
      <c r="L313" s="432">
        <f t="shared" si="32"/>
        <v>0</v>
      </c>
      <c r="M313" s="162" t="str">
        <f t="shared" si="33"/>
        <v/>
      </c>
    </row>
    <row r="314" spans="1:13" ht="15" customHeight="1" x14ac:dyDescent="0.25">
      <c r="A314" s="6"/>
      <c r="B314" s="1098"/>
      <c r="C314" s="154" t="s">
        <v>4068</v>
      </c>
      <c r="D314" s="1156"/>
      <c r="E314" s="1157"/>
      <c r="F314" s="430"/>
      <c r="G314" s="433"/>
      <c r="H314" s="433"/>
      <c r="I314" s="433"/>
      <c r="J314" s="432">
        <f t="shared" si="30"/>
        <v>0</v>
      </c>
      <c r="K314" s="432">
        <f t="shared" si="31"/>
        <v>0</v>
      </c>
      <c r="L314" s="432">
        <f t="shared" si="32"/>
        <v>0</v>
      </c>
      <c r="M314" s="162" t="str">
        <f t="shared" si="33"/>
        <v/>
      </c>
    </row>
    <row r="315" spans="1:13" ht="15" customHeight="1" x14ac:dyDescent="0.25">
      <c r="A315" s="6"/>
      <c r="B315" s="62"/>
      <c r="C315" s="63"/>
      <c r="D315" s="64"/>
      <c r="E315" s="64"/>
      <c r="F315" s="64"/>
      <c r="G315" s="64"/>
      <c r="H315" s="64"/>
      <c r="I315" s="64"/>
      <c r="J315" s="142"/>
      <c r="K315" s="142"/>
      <c r="L315" s="143"/>
      <c r="M315" s="162"/>
    </row>
    <row r="316" spans="1:13" ht="15" customHeight="1" x14ac:dyDescent="0.25">
      <c r="A316" s="6"/>
      <c r="B316" s="1096" t="s">
        <v>3387</v>
      </c>
      <c r="C316" s="1066" t="s">
        <v>3378</v>
      </c>
      <c r="D316" s="1067"/>
      <c r="E316" s="1068"/>
      <c r="F316" s="426"/>
      <c r="G316" s="427"/>
      <c r="H316" s="427"/>
      <c r="I316" s="428"/>
      <c r="J316" s="432">
        <f>SUM(F316:H316)</f>
        <v>0</v>
      </c>
      <c r="K316" s="432">
        <f>J316+I316</f>
        <v>0</v>
      </c>
      <c r="L316" s="432">
        <f>S397</f>
        <v>0</v>
      </c>
      <c r="M316" s="162" t="str">
        <f>IF(L316&lt;&gt;K316,"Caution: Does Not Match Uses","")</f>
        <v/>
      </c>
    </row>
    <row r="317" spans="1:13" ht="15" customHeight="1" x14ac:dyDescent="0.25">
      <c r="A317" s="6"/>
      <c r="B317" s="1097"/>
      <c r="C317" s="1066" t="s">
        <v>3379</v>
      </c>
      <c r="D317" s="1067"/>
      <c r="E317" s="1068"/>
      <c r="F317" s="426"/>
      <c r="G317" s="427"/>
      <c r="H317" s="427"/>
      <c r="I317" s="428"/>
      <c r="J317" s="432">
        <f>SUM(F317:H317)</f>
        <v>0</v>
      </c>
      <c r="K317" s="432">
        <f>J317+I317</f>
        <v>0</v>
      </c>
      <c r="L317" s="432">
        <f>S398</f>
        <v>0</v>
      </c>
      <c r="M317" s="162" t="str">
        <f>IF(L317&lt;&gt;K317,"Caution: Does Not Match Uses","")</f>
        <v/>
      </c>
    </row>
    <row r="318" spans="1:13" ht="15" customHeight="1" x14ac:dyDescent="0.25">
      <c r="A318" s="6"/>
      <c r="B318" s="1097"/>
      <c r="C318" s="1066" t="s">
        <v>3380</v>
      </c>
      <c r="D318" s="1067"/>
      <c r="E318" s="1068"/>
      <c r="F318" s="426"/>
      <c r="G318" s="427"/>
      <c r="H318" s="427"/>
      <c r="I318" s="428"/>
      <c r="J318" s="432">
        <f>SUM(F318:H318)</f>
        <v>0</v>
      </c>
      <c r="K318" s="432">
        <f>J318+I318</f>
        <v>0</v>
      </c>
      <c r="L318" s="432">
        <f>S399</f>
        <v>0</v>
      </c>
      <c r="M318" s="162" t="str">
        <f>IF(L318&lt;&gt;K318,"Caution: Does Not Match Uses","")</f>
        <v/>
      </c>
    </row>
    <row r="319" spans="1:13" ht="15" customHeight="1" x14ac:dyDescent="0.25">
      <c r="A319" s="6"/>
      <c r="B319" s="1097"/>
      <c r="C319" s="151" t="s">
        <v>4068</v>
      </c>
      <c r="D319" s="1123"/>
      <c r="E319" s="1124"/>
      <c r="F319" s="426"/>
      <c r="G319" s="427"/>
      <c r="H319" s="427"/>
      <c r="I319" s="428"/>
      <c r="J319" s="432">
        <f>SUM(F319:H319)</f>
        <v>0</v>
      </c>
      <c r="K319" s="432">
        <f>J319+I319</f>
        <v>0</v>
      </c>
      <c r="L319" s="432">
        <f>S400</f>
        <v>0</v>
      </c>
      <c r="M319" s="162" t="str">
        <f>IF(L319&lt;&gt;K319,"Caution: Does Not Match Uses","")</f>
        <v/>
      </c>
    </row>
    <row r="320" spans="1:13" ht="15" customHeight="1" x14ac:dyDescent="0.25">
      <c r="A320" s="6"/>
      <c r="B320" s="1098"/>
      <c r="C320" s="151" t="s">
        <v>4068</v>
      </c>
      <c r="D320" s="1123"/>
      <c r="E320" s="1124"/>
      <c r="F320" s="434"/>
      <c r="G320" s="431"/>
      <c r="H320" s="431"/>
      <c r="I320" s="428"/>
      <c r="J320" s="432">
        <f>SUM(F320:H320)</f>
        <v>0</v>
      </c>
      <c r="K320" s="432">
        <f>J320+I320</f>
        <v>0</v>
      </c>
      <c r="L320" s="432">
        <f>S401</f>
        <v>0</v>
      </c>
      <c r="M320" s="162" t="str">
        <f>IF(L320&lt;&gt;K320,"Caution: Does Not Match Uses","")</f>
        <v/>
      </c>
    </row>
    <row r="321" spans="1:19" ht="15" customHeight="1" x14ac:dyDescent="0.25">
      <c r="A321" s="6"/>
      <c r="B321" s="62"/>
      <c r="C321" s="63"/>
      <c r="D321" s="64"/>
      <c r="E321" s="64"/>
      <c r="F321" s="64"/>
      <c r="G321" s="64"/>
      <c r="H321" s="64"/>
      <c r="I321" s="64"/>
      <c r="J321" s="142"/>
      <c r="K321" s="142"/>
      <c r="L321" s="143"/>
      <c r="M321" s="162"/>
    </row>
    <row r="322" spans="1:19" ht="15" customHeight="1" x14ac:dyDescent="0.25">
      <c r="A322" s="6"/>
      <c r="B322" s="1096" t="s">
        <v>3388</v>
      </c>
      <c r="C322" s="1066" t="s">
        <v>3381</v>
      </c>
      <c r="D322" s="1067"/>
      <c r="E322" s="1068"/>
      <c r="F322" s="206"/>
      <c r="G322" s="207"/>
      <c r="H322" s="207"/>
      <c r="I322" s="200"/>
      <c r="J322" s="30">
        <f>SUM(F322:H322)</f>
        <v>0</v>
      </c>
      <c r="K322" s="30">
        <f>J322+I322</f>
        <v>0</v>
      </c>
      <c r="L322" s="30">
        <f>S403</f>
        <v>0</v>
      </c>
      <c r="M322" s="162" t="str">
        <f>IF(L322&lt;&gt;K322,"Caution: Does Not Match Uses","")</f>
        <v/>
      </c>
    </row>
    <row r="323" spans="1:19" ht="15" customHeight="1" x14ac:dyDescent="0.25">
      <c r="A323" s="6"/>
      <c r="B323" s="1097"/>
      <c r="C323" s="1066" t="s">
        <v>3382</v>
      </c>
      <c r="D323" s="1067"/>
      <c r="E323" s="1068"/>
      <c r="F323" s="206"/>
      <c r="G323" s="207"/>
      <c r="H323" s="207"/>
      <c r="I323" s="200"/>
      <c r="J323" s="30">
        <f>SUM(F323:H323)</f>
        <v>0</v>
      </c>
      <c r="K323" s="30">
        <f>J323+I323</f>
        <v>0</v>
      </c>
      <c r="L323" s="30">
        <f>S404</f>
        <v>0</v>
      </c>
      <c r="M323" s="162" t="str">
        <f>IF(L323&lt;&gt;K323,"Caution: Does Not Match Uses","")</f>
        <v/>
      </c>
    </row>
    <row r="324" spans="1:19" ht="15" customHeight="1" x14ac:dyDescent="0.25">
      <c r="A324" s="6"/>
      <c r="B324" s="1097"/>
      <c r="C324" s="151" t="s">
        <v>4068</v>
      </c>
      <c r="D324" s="1123"/>
      <c r="E324" s="1124"/>
      <c r="F324" s="206"/>
      <c r="G324" s="207"/>
      <c r="H324" s="207"/>
      <c r="I324" s="200"/>
      <c r="J324" s="30">
        <f>SUM(F324:H324)</f>
        <v>0</v>
      </c>
      <c r="K324" s="30">
        <f>J324+I324</f>
        <v>0</v>
      </c>
      <c r="L324" s="30">
        <f>S405</f>
        <v>0</v>
      </c>
      <c r="M324" s="162" t="str">
        <f>IF(L324&lt;&gt;K324,"Caution: Does Not Match Uses","")</f>
        <v/>
      </c>
    </row>
    <row r="325" spans="1:19" ht="15" customHeight="1" x14ac:dyDescent="0.25">
      <c r="A325" s="6"/>
      <c r="B325" s="1098"/>
      <c r="C325" s="151" t="s">
        <v>4068</v>
      </c>
      <c r="D325" s="1123"/>
      <c r="E325" s="1124"/>
      <c r="F325" s="210"/>
      <c r="G325" s="209"/>
      <c r="H325" s="209"/>
      <c r="I325" s="200"/>
      <c r="J325" s="30">
        <f>SUM(F325:H325)</f>
        <v>0</v>
      </c>
      <c r="K325" s="30">
        <f>J325+I325</f>
        <v>0</v>
      </c>
      <c r="L325" s="30">
        <f>S406</f>
        <v>0</v>
      </c>
      <c r="M325" s="162" t="str">
        <f>IF(L325&lt;&gt;K325,"Caution: Does Not Match Uses","")</f>
        <v/>
      </c>
    </row>
    <row r="326" spans="1:19" ht="15" customHeight="1" x14ac:dyDescent="0.25">
      <c r="A326" s="6"/>
      <c r="B326" s="62"/>
      <c r="C326" s="63"/>
      <c r="D326" s="64"/>
      <c r="E326" s="64"/>
      <c r="F326" s="64"/>
      <c r="G326" s="64"/>
      <c r="H326" s="64"/>
      <c r="I326" s="64"/>
      <c r="J326" s="143"/>
      <c r="K326" s="143"/>
      <c r="L326" s="143"/>
      <c r="M326" s="162"/>
    </row>
    <row r="327" spans="1:19" ht="15" customHeight="1" x14ac:dyDescent="0.25">
      <c r="A327" s="6"/>
      <c r="C327" s="1158" t="s">
        <v>3383</v>
      </c>
      <c r="D327" s="1159"/>
      <c r="E327" s="1160"/>
      <c r="F327" s="435">
        <f t="shared" ref="F327:L327" si="34">SUM(F254:F326)</f>
        <v>0</v>
      </c>
      <c r="G327" s="435">
        <f t="shared" si="34"/>
        <v>0</v>
      </c>
      <c r="H327" s="435">
        <f t="shared" si="34"/>
        <v>0</v>
      </c>
      <c r="I327" s="435">
        <f t="shared" si="34"/>
        <v>0</v>
      </c>
      <c r="J327" s="435">
        <f t="shared" si="34"/>
        <v>0</v>
      </c>
      <c r="K327" s="435">
        <f t="shared" si="34"/>
        <v>0</v>
      </c>
      <c r="L327" s="435">
        <f t="shared" si="34"/>
        <v>0</v>
      </c>
      <c r="M327" s="162" t="str">
        <f>IF(L327&lt;&gt;K327,"Caution: Does Not Match Uses","")</f>
        <v/>
      </c>
    </row>
    <row r="328" spans="1:19" ht="15" customHeight="1" x14ac:dyDescent="0.2">
      <c r="I328" s="135"/>
    </row>
    <row r="329" spans="1:19" ht="15" customHeight="1" x14ac:dyDescent="0.25">
      <c r="C329" s="622" t="s">
        <v>3391</v>
      </c>
      <c r="D329" s="441">
        <f>L260+L261+L262+L263+L264+L265+L266+L267+L268+L298+L303+L304+L305+L306+L307+L308+L309+L310+L311+L312+L313+L314</f>
        <v>0</v>
      </c>
    </row>
    <row r="330" spans="1:19" ht="15" x14ac:dyDescent="0.25">
      <c r="C330" s="623" t="s">
        <v>3392</v>
      </c>
      <c r="D330" s="441">
        <f>L281+L282+L283+L284+L285+L286+L270+L272</f>
        <v>0</v>
      </c>
    </row>
    <row r="331" spans="1:19" x14ac:dyDescent="0.2">
      <c r="B331" s="409" t="s">
        <v>4295</v>
      </c>
      <c r="C331" s="442" t="s">
        <v>4387</v>
      </c>
      <c r="D331" s="441">
        <f>L305+L306+L307+L308+L309+L312</f>
        <v>0</v>
      </c>
      <c r="E331" s="92" t="str">
        <f>IF(D331&gt;1750000,"Caution: Exceeds 9% Developer Support Budget Limit","")</f>
        <v/>
      </c>
    </row>
    <row r="332" spans="1:19" x14ac:dyDescent="0.2">
      <c r="C332" s="442" t="s">
        <v>3986</v>
      </c>
      <c r="D332" s="441">
        <f>L305</f>
        <v>0</v>
      </c>
      <c r="E332" s="97"/>
    </row>
    <row r="333" spans="1:19" ht="15" x14ac:dyDescent="0.25">
      <c r="F333" s="149"/>
      <c r="G333" s="149" t="s">
        <v>4063</v>
      </c>
      <c r="H333" s="149"/>
      <c r="I333" s="149"/>
      <c r="J333" s="149" t="s">
        <v>4064</v>
      </c>
      <c r="K333" s="149" t="s">
        <v>4065</v>
      </c>
    </row>
    <row r="334" spans="1:19" s="213" customFormat="1" ht="30" customHeight="1" x14ac:dyDescent="0.2">
      <c r="A334" s="5"/>
      <c r="B334" s="62"/>
      <c r="C334" s="1153" t="s">
        <v>4046</v>
      </c>
      <c r="D334" s="1154"/>
      <c r="E334" s="1155"/>
      <c r="F334" s="353" t="s">
        <v>4172</v>
      </c>
      <c r="G334" s="57" t="str">
        <f>IF(E238="","N/A",E238)</f>
        <v>N/A</v>
      </c>
      <c r="H334" s="57" t="str">
        <f>E239</f>
        <v>HDAP: OHTF or HOME</v>
      </c>
      <c r="I334" s="57" t="str">
        <f>E240</f>
        <v>HDAP: NHTF</v>
      </c>
      <c r="J334" s="57" t="str">
        <f>IF(E241="","N/A",E241)</f>
        <v>N/A</v>
      </c>
      <c r="K334" s="57" t="str">
        <f>IF(E242="","N/A",E242)</f>
        <v>N/A</v>
      </c>
      <c r="L334" s="57" t="str">
        <f>IF(E243="","N/A",E243)</f>
        <v>N/A</v>
      </c>
      <c r="M334" s="57" t="str">
        <f>IF(E244="","N/A",E244)</f>
        <v>N/A</v>
      </c>
      <c r="N334" s="57" t="str">
        <f>IF(E245="","N/A",E245)</f>
        <v>N/A</v>
      </c>
      <c r="O334" s="57" t="str">
        <f>IF(E246="","N/A",E246)</f>
        <v>N/A</v>
      </c>
      <c r="P334" s="57" t="str">
        <f>IF(E247="","N/A",E247)</f>
        <v>N/A</v>
      </c>
      <c r="Q334" s="57" t="str">
        <f>IF(E248="","N/A",E248)</f>
        <v>N/A</v>
      </c>
      <c r="R334" s="57" t="str">
        <f>IF(E249="","N/A",E249)</f>
        <v>N/A</v>
      </c>
      <c r="S334" s="57" t="s">
        <v>4047</v>
      </c>
    </row>
    <row r="335" spans="1:19" ht="14.25" customHeight="1" x14ac:dyDescent="0.2">
      <c r="A335" s="191"/>
      <c r="B335" s="1096" t="s">
        <v>3342</v>
      </c>
      <c r="C335" s="1066" t="s">
        <v>3343</v>
      </c>
      <c r="D335" s="1067"/>
      <c r="E335" s="1068"/>
      <c r="F335" s="436">
        <f>K254</f>
        <v>0</v>
      </c>
      <c r="G335" s="429"/>
      <c r="H335" s="428"/>
      <c r="I335" s="428"/>
      <c r="J335" s="428"/>
      <c r="K335" s="428"/>
      <c r="L335" s="428"/>
      <c r="M335" s="428"/>
      <c r="N335" s="428"/>
      <c r="O335" s="428"/>
      <c r="P335" s="428"/>
      <c r="Q335" s="428"/>
      <c r="R335" s="428"/>
      <c r="S335" s="432">
        <f>SUM(G335:R335)</f>
        <v>0</v>
      </c>
    </row>
    <row r="336" spans="1:19" x14ac:dyDescent="0.2">
      <c r="A336" s="191"/>
      <c r="B336" s="1097"/>
      <c r="C336" s="1066" t="s">
        <v>3344</v>
      </c>
      <c r="D336" s="1067"/>
      <c r="E336" s="1068"/>
      <c r="F336" s="436">
        <f>K255</f>
        <v>0</v>
      </c>
      <c r="G336" s="429"/>
      <c r="H336" s="427"/>
      <c r="I336" s="427"/>
      <c r="J336" s="428"/>
      <c r="K336" s="428"/>
      <c r="L336" s="428"/>
      <c r="M336" s="428"/>
      <c r="N336" s="428"/>
      <c r="O336" s="428"/>
      <c r="P336" s="428"/>
      <c r="Q336" s="428"/>
      <c r="R336" s="428"/>
      <c r="S336" s="432">
        <f t="shared" ref="S336:S401" si="35">SUM(G336:R336)</f>
        <v>0</v>
      </c>
    </row>
    <row r="337" spans="1:19" x14ac:dyDescent="0.2">
      <c r="A337" s="191"/>
      <c r="B337" s="1097"/>
      <c r="C337" s="1066" t="s">
        <v>3345</v>
      </c>
      <c r="D337" s="1067"/>
      <c r="E337" s="1068"/>
      <c r="F337" s="436">
        <f>K256</f>
        <v>0</v>
      </c>
      <c r="G337" s="429"/>
      <c r="H337" s="428"/>
      <c r="I337" s="428"/>
      <c r="J337" s="428"/>
      <c r="K337" s="428"/>
      <c r="L337" s="428"/>
      <c r="M337" s="428"/>
      <c r="N337" s="428"/>
      <c r="O337" s="428"/>
      <c r="P337" s="428"/>
      <c r="Q337" s="428"/>
      <c r="R337" s="428"/>
      <c r="S337" s="432">
        <f t="shared" si="35"/>
        <v>0</v>
      </c>
    </row>
    <row r="338" spans="1:19" x14ac:dyDescent="0.2">
      <c r="A338" s="191"/>
      <c r="B338" s="1097"/>
      <c r="C338" s="151" t="s">
        <v>3389</v>
      </c>
      <c r="D338" s="152" t="str">
        <f>IF(D257="","",D257)</f>
        <v/>
      </c>
      <c r="E338" s="153"/>
      <c r="F338" s="436">
        <f>K257</f>
        <v>0</v>
      </c>
      <c r="G338" s="429"/>
      <c r="H338" s="427"/>
      <c r="I338" s="427"/>
      <c r="J338" s="428"/>
      <c r="K338" s="428"/>
      <c r="L338" s="428"/>
      <c r="M338" s="428"/>
      <c r="N338" s="428"/>
      <c r="O338" s="428"/>
      <c r="P338" s="428"/>
      <c r="Q338" s="428"/>
      <c r="R338" s="428"/>
      <c r="S338" s="432">
        <f t="shared" si="35"/>
        <v>0</v>
      </c>
    </row>
    <row r="339" spans="1:19" x14ac:dyDescent="0.2">
      <c r="A339" s="191"/>
      <c r="B339" s="1098"/>
      <c r="C339" s="151" t="s">
        <v>3389</v>
      </c>
      <c r="D339" s="152" t="str">
        <f>IF(D258="","",D258)</f>
        <v/>
      </c>
      <c r="E339" s="153"/>
      <c r="F339" s="436">
        <f>K258</f>
        <v>0</v>
      </c>
      <c r="G339" s="429"/>
      <c r="H339" s="431"/>
      <c r="I339" s="431"/>
      <c r="J339" s="433"/>
      <c r="K339" s="433"/>
      <c r="L339" s="433"/>
      <c r="M339" s="433"/>
      <c r="N339" s="433"/>
      <c r="O339" s="433"/>
      <c r="P339" s="433"/>
      <c r="Q339" s="433"/>
      <c r="R339" s="433"/>
      <c r="S339" s="432">
        <f t="shared" si="35"/>
        <v>0</v>
      </c>
    </row>
    <row r="340" spans="1:19" x14ac:dyDescent="0.2">
      <c r="A340" s="191"/>
      <c r="B340" s="62"/>
      <c r="C340" s="63"/>
      <c r="D340" s="64"/>
      <c r="E340" s="64"/>
      <c r="F340" s="437"/>
      <c r="G340" s="437"/>
      <c r="H340" s="438"/>
      <c r="I340" s="438"/>
      <c r="J340" s="438"/>
      <c r="K340" s="438"/>
      <c r="L340" s="438"/>
      <c r="M340" s="438"/>
      <c r="N340" s="438"/>
      <c r="O340" s="438"/>
      <c r="P340" s="438"/>
      <c r="Q340" s="438"/>
      <c r="R340" s="438"/>
      <c r="S340" s="439"/>
    </row>
    <row r="341" spans="1:19" ht="14.25" customHeight="1" x14ac:dyDescent="0.25">
      <c r="A341" s="191"/>
      <c r="B341" s="1096" t="s">
        <v>3874</v>
      </c>
      <c r="C341" s="1105" t="s">
        <v>3346</v>
      </c>
      <c r="D341" s="1106"/>
      <c r="E341" s="1107"/>
      <c r="F341" s="436">
        <f t="shared" ref="F341:F349" si="36">K260</f>
        <v>0</v>
      </c>
      <c r="G341" s="429"/>
      <c r="H341" s="428"/>
      <c r="I341" s="428"/>
      <c r="J341" s="428"/>
      <c r="K341" s="428"/>
      <c r="L341" s="428"/>
      <c r="M341" s="428"/>
      <c r="N341" s="428"/>
      <c r="O341" s="428"/>
      <c r="P341" s="428"/>
      <c r="Q341" s="428"/>
      <c r="R341" s="428"/>
      <c r="S341" s="432">
        <f t="shared" si="35"/>
        <v>0</v>
      </c>
    </row>
    <row r="342" spans="1:19" ht="15" x14ac:dyDescent="0.25">
      <c r="A342" s="191"/>
      <c r="B342" s="1097"/>
      <c r="C342" s="1105" t="s">
        <v>3347</v>
      </c>
      <c r="D342" s="1106"/>
      <c r="E342" s="1107"/>
      <c r="F342" s="436">
        <f t="shared" si="36"/>
        <v>0</v>
      </c>
      <c r="G342" s="429"/>
      <c r="H342" s="428"/>
      <c r="I342" s="428"/>
      <c r="J342" s="428"/>
      <c r="K342" s="428"/>
      <c r="L342" s="428"/>
      <c r="M342" s="428"/>
      <c r="N342" s="428"/>
      <c r="O342" s="428"/>
      <c r="P342" s="428"/>
      <c r="Q342" s="428"/>
      <c r="R342" s="428"/>
      <c r="S342" s="432">
        <f t="shared" si="35"/>
        <v>0</v>
      </c>
    </row>
    <row r="343" spans="1:19" ht="15" x14ac:dyDescent="0.25">
      <c r="A343" s="191"/>
      <c r="B343" s="1097"/>
      <c r="C343" s="1105" t="s">
        <v>3348</v>
      </c>
      <c r="D343" s="1106"/>
      <c r="E343" s="1107"/>
      <c r="F343" s="436">
        <f t="shared" si="36"/>
        <v>0</v>
      </c>
      <c r="G343" s="429"/>
      <c r="H343" s="428"/>
      <c r="I343" s="428"/>
      <c r="J343" s="428"/>
      <c r="K343" s="428"/>
      <c r="L343" s="428"/>
      <c r="M343" s="428"/>
      <c r="N343" s="428"/>
      <c r="O343" s="428"/>
      <c r="P343" s="428"/>
      <c r="Q343" s="428"/>
      <c r="R343" s="428"/>
      <c r="S343" s="432">
        <f t="shared" si="35"/>
        <v>0</v>
      </c>
    </row>
    <row r="344" spans="1:19" ht="15" x14ac:dyDescent="0.25">
      <c r="A344" s="191"/>
      <c r="B344" s="1097"/>
      <c r="C344" s="1105" t="s">
        <v>3349</v>
      </c>
      <c r="D344" s="1106"/>
      <c r="E344" s="1107"/>
      <c r="F344" s="436">
        <f t="shared" si="36"/>
        <v>0</v>
      </c>
      <c r="G344" s="429"/>
      <c r="H344" s="428"/>
      <c r="I344" s="428"/>
      <c r="J344" s="428"/>
      <c r="K344" s="428"/>
      <c r="L344" s="428"/>
      <c r="M344" s="428"/>
      <c r="N344" s="428"/>
      <c r="O344" s="428"/>
      <c r="P344" s="428"/>
      <c r="Q344" s="428"/>
      <c r="R344" s="428"/>
      <c r="S344" s="432">
        <f t="shared" si="35"/>
        <v>0</v>
      </c>
    </row>
    <row r="345" spans="1:19" ht="15" x14ac:dyDescent="0.25">
      <c r="A345" s="191"/>
      <c r="B345" s="1097"/>
      <c r="C345" s="1105" t="s">
        <v>3350</v>
      </c>
      <c r="D345" s="1106"/>
      <c r="E345" s="1107"/>
      <c r="F345" s="436">
        <f t="shared" si="36"/>
        <v>0</v>
      </c>
      <c r="G345" s="429"/>
      <c r="H345" s="428"/>
      <c r="I345" s="428"/>
      <c r="J345" s="428"/>
      <c r="K345" s="428"/>
      <c r="L345" s="428"/>
      <c r="M345" s="428"/>
      <c r="N345" s="428"/>
      <c r="O345" s="428"/>
      <c r="P345" s="428"/>
      <c r="Q345" s="428"/>
      <c r="R345" s="428"/>
      <c r="S345" s="432">
        <f t="shared" si="35"/>
        <v>0</v>
      </c>
    </row>
    <row r="346" spans="1:19" ht="15" x14ac:dyDescent="0.25">
      <c r="A346" s="191"/>
      <c r="B346" s="1097"/>
      <c r="C346" s="1105" t="s">
        <v>3351</v>
      </c>
      <c r="D346" s="1106"/>
      <c r="E346" s="1107"/>
      <c r="F346" s="436">
        <f t="shared" si="36"/>
        <v>0</v>
      </c>
      <c r="G346" s="429"/>
      <c r="H346" s="428"/>
      <c r="I346" s="428"/>
      <c r="J346" s="428"/>
      <c r="K346" s="428"/>
      <c r="L346" s="428"/>
      <c r="M346" s="428"/>
      <c r="N346" s="428"/>
      <c r="O346" s="428"/>
      <c r="P346" s="428"/>
      <c r="Q346" s="428"/>
      <c r="R346" s="428"/>
      <c r="S346" s="432">
        <f t="shared" si="35"/>
        <v>0</v>
      </c>
    </row>
    <row r="347" spans="1:19" ht="15" x14ac:dyDescent="0.25">
      <c r="A347" s="191"/>
      <c r="B347" s="1097"/>
      <c r="C347" s="1105" t="s">
        <v>3352</v>
      </c>
      <c r="D347" s="1106"/>
      <c r="E347" s="1107"/>
      <c r="F347" s="436">
        <f t="shared" si="36"/>
        <v>0</v>
      </c>
      <c r="G347" s="429"/>
      <c r="H347" s="428"/>
      <c r="I347" s="428"/>
      <c r="J347" s="428"/>
      <c r="K347" s="428"/>
      <c r="L347" s="428"/>
      <c r="M347" s="428"/>
      <c r="N347" s="428"/>
      <c r="O347" s="428"/>
      <c r="P347" s="428"/>
      <c r="Q347" s="428"/>
      <c r="R347" s="428"/>
      <c r="S347" s="432">
        <f t="shared" si="35"/>
        <v>0</v>
      </c>
    </row>
    <row r="348" spans="1:19" ht="15" x14ac:dyDescent="0.25">
      <c r="A348" s="191"/>
      <c r="B348" s="1097"/>
      <c r="C348" s="154" t="s">
        <v>3389</v>
      </c>
      <c r="D348" s="155" t="str">
        <f>IF(D267="","",D267)</f>
        <v/>
      </c>
      <c r="E348" s="156"/>
      <c r="F348" s="436">
        <f t="shared" si="36"/>
        <v>0</v>
      </c>
      <c r="G348" s="429"/>
      <c r="H348" s="427"/>
      <c r="I348" s="427"/>
      <c r="J348" s="428"/>
      <c r="K348" s="428"/>
      <c r="L348" s="428"/>
      <c r="M348" s="428"/>
      <c r="N348" s="428"/>
      <c r="O348" s="428"/>
      <c r="P348" s="428"/>
      <c r="Q348" s="428"/>
      <c r="R348" s="428"/>
      <c r="S348" s="432">
        <f t="shared" si="35"/>
        <v>0</v>
      </c>
    </row>
    <row r="349" spans="1:19" ht="15" x14ac:dyDescent="0.25">
      <c r="A349" s="191"/>
      <c r="B349" s="1098"/>
      <c r="C349" s="154" t="s">
        <v>3389</v>
      </c>
      <c r="D349" s="155" t="str">
        <f>IF(D268="","",D268)</f>
        <v/>
      </c>
      <c r="E349" s="156"/>
      <c r="F349" s="436">
        <f t="shared" si="36"/>
        <v>0</v>
      </c>
      <c r="G349" s="429"/>
      <c r="H349" s="431"/>
      <c r="I349" s="431"/>
      <c r="J349" s="433"/>
      <c r="K349" s="433"/>
      <c r="L349" s="433"/>
      <c r="M349" s="433"/>
      <c r="N349" s="433"/>
      <c r="O349" s="433"/>
      <c r="P349" s="433"/>
      <c r="Q349" s="433"/>
      <c r="R349" s="433"/>
      <c r="S349" s="432">
        <f t="shared" si="35"/>
        <v>0</v>
      </c>
    </row>
    <row r="350" spans="1:19" x14ac:dyDescent="0.2">
      <c r="A350" s="191"/>
      <c r="B350" s="62"/>
      <c r="C350" s="63"/>
      <c r="D350" s="64"/>
      <c r="E350" s="64"/>
      <c r="F350" s="437"/>
      <c r="G350" s="437"/>
      <c r="H350" s="437"/>
      <c r="I350" s="437"/>
      <c r="J350" s="437"/>
      <c r="K350" s="437"/>
      <c r="L350" s="437"/>
      <c r="M350" s="437"/>
      <c r="N350" s="437"/>
      <c r="O350" s="437"/>
      <c r="P350" s="437"/>
      <c r="Q350" s="437"/>
      <c r="R350" s="437"/>
      <c r="S350" s="439"/>
    </row>
    <row r="351" spans="1:19" ht="14.25" customHeight="1" x14ac:dyDescent="0.25">
      <c r="A351" s="191"/>
      <c r="B351" s="1096" t="s">
        <v>3384</v>
      </c>
      <c r="C351" s="1093" t="s">
        <v>3353</v>
      </c>
      <c r="D351" s="1094"/>
      <c r="E351" s="1095"/>
      <c r="F351" s="436">
        <f t="shared" ref="F351:F356" si="37">K270</f>
        <v>0</v>
      </c>
      <c r="G351" s="429"/>
      <c r="H351" s="428"/>
      <c r="I351" s="428"/>
      <c r="J351" s="428"/>
      <c r="K351" s="428"/>
      <c r="L351" s="428"/>
      <c r="M351" s="428"/>
      <c r="N351" s="428"/>
      <c r="O351" s="428"/>
      <c r="P351" s="428"/>
      <c r="Q351" s="428"/>
      <c r="R351" s="428"/>
      <c r="S351" s="432">
        <f t="shared" si="35"/>
        <v>0</v>
      </c>
    </row>
    <row r="352" spans="1:19" x14ac:dyDescent="0.2">
      <c r="A352" s="191"/>
      <c r="B352" s="1097"/>
      <c r="C352" s="1066" t="s">
        <v>3354</v>
      </c>
      <c r="D352" s="1067"/>
      <c r="E352" s="1068"/>
      <c r="F352" s="436">
        <f t="shared" si="37"/>
        <v>0</v>
      </c>
      <c r="G352" s="429"/>
      <c r="H352" s="427"/>
      <c r="I352" s="427"/>
      <c r="J352" s="428"/>
      <c r="K352" s="428"/>
      <c r="L352" s="428"/>
      <c r="M352" s="428"/>
      <c r="N352" s="428"/>
      <c r="O352" s="428"/>
      <c r="P352" s="428"/>
      <c r="Q352" s="428"/>
      <c r="R352" s="428"/>
      <c r="S352" s="432">
        <f t="shared" si="35"/>
        <v>0</v>
      </c>
    </row>
    <row r="353" spans="1:19" ht="15" x14ac:dyDescent="0.25">
      <c r="A353" s="191"/>
      <c r="B353" s="1097"/>
      <c r="C353" s="1093" t="s">
        <v>3355</v>
      </c>
      <c r="D353" s="1094"/>
      <c r="E353" s="1095"/>
      <c r="F353" s="436">
        <f t="shared" si="37"/>
        <v>0</v>
      </c>
      <c r="G353" s="429"/>
      <c r="H353" s="428"/>
      <c r="I353" s="428"/>
      <c r="J353" s="428"/>
      <c r="K353" s="428"/>
      <c r="L353" s="428"/>
      <c r="M353" s="428"/>
      <c r="N353" s="428"/>
      <c r="O353" s="428"/>
      <c r="P353" s="428"/>
      <c r="Q353" s="428"/>
      <c r="R353" s="428"/>
      <c r="S353" s="432">
        <f t="shared" si="35"/>
        <v>0</v>
      </c>
    </row>
    <row r="354" spans="1:19" x14ac:dyDescent="0.2">
      <c r="A354" s="191"/>
      <c r="B354" s="1097"/>
      <c r="C354" s="1066" t="s">
        <v>4168</v>
      </c>
      <c r="D354" s="1067"/>
      <c r="E354" s="1068"/>
      <c r="F354" s="436">
        <f t="shared" si="37"/>
        <v>0</v>
      </c>
      <c r="G354" s="429"/>
      <c r="H354" s="428"/>
      <c r="I354" s="428"/>
      <c r="J354" s="428"/>
      <c r="K354" s="428"/>
      <c r="L354" s="428"/>
      <c r="M354" s="428"/>
      <c r="N354" s="428"/>
      <c r="O354" s="428"/>
      <c r="P354" s="428"/>
      <c r="Q354" s="428"/>
      <c r="R354" s="428"/>
      <c r="S354" s="432">
        <f t="shared" si="35"/>
        <v>0</v>
      </c>
    </row>
    <row r="355" spans="1:19" x14ac:dyDescent="0.2">
      <c r="A355" s="191"/>
      <c r="B355" s="1097"/>
      <c r="C355" s="151" t="s">
        <v>3389</v>
      </c>
      <c r="D355" s="152" t="str">
        <f>IF(D274="","",D274)</f>
        <v/>
      </c>
      <c r="E355" s="153"/>
      <c r="F355" s="436">
        <f t="shared" si="37"/>
        <v>0</v>
      </c>
      <c r="G355" s="429"/>
      <c r="H355" s="427"/>
      <c r="I355" s="427"/>
      <c r="J355" s="428"/>
      <c r="K355" s="428"/>
      <c r="L355" s="428"/>
      <c r="M355" s="428"/>
      <c r="N355" s="428"/>
      <c r="O355" s="428"/>
      <c r="P355" s="428"/>
      <c r="Q355" s="428"/>
      <c r="R355" s="428"/>
      <c r="S355" s="432">
        <f t="shared" si="35"/>
        <v>0</v>
      </c>
    </row>
    <row r="356" spans="1:19" x14ac:dyDescent="0.2">
      <c r="A356" s="191"/>
      <c r="B356" s="1098"/>
      <c r="C356" s="151" t="s">
        <v>3389</v>
      </c>
      <c r="D356" s="152" t="str">
        <f>IF(D275="","",D275)</f>
        <v/>
      </c>
      <c r="E356" s="153"/>
      <c r="F356" s="436">
        <f t="shared" si="37"/>
        <v>0</v>
      </c>
      <c r="G356" s="429"/>
      <c r="H356" s="431"/>
      <c r="I356" s="431"/>
      <c r="J356" s="433"/>
      <c r="K356" s="433"/>
      <c r="L356" s="433"/>
      <c r="M356" s="433"/>
      <c r="N356" s="433"/>
      <c r="O356" s="433"/>
      <c r="P356" s="433"/>
      <c r="Q356" s="433"/>
      <c r="R356" s="433"/>
      <c r="S356" s="432">
        <f t="shared" si="35"/>
        <v>0</v>
      </c>
    </row>
    <row r="357" spans="1:19" x14ac:dyDescent="0.2">
      <c r="A357" s="191"/>
      <c r="B357" s="62"/>
      <c r="C357" s="63"/>
      <c r="D357" s="64"/>
      <c r="E357" s="64"/>
      <c r="F357" s="437"/>
      <c r="G357" s="437"/>
      <c r="H357" s="437"/>
      <c r="I357" s="437"/>
      <c r="J357" s="437"/>
      <c r="K357" s="437"/>
      <c r="L357" s="437"/>
      <c r="M357" s="437"/>
      <c r="N357" s="437"/>
      <c r="O357" s="437"/>
      <c r="P357" s="437"/>
      <c r="Q357" s="437"/>
      <c r="R357" s="437"/>
      <c r="S357" s="439"/>
    </row>
    <row r="358" spans="1:19" ht="14.25" customHeight="1" x14ac:dyDescent="0.2">
      <c r="A358" s="191"/>
      <c r="B358" s="1096" t="s">
        <v>3385</v>
      </c>
      <c r="C358" s="1066" t="s">
        <v>3356</v>
      </c>
      <c r="D358" s="1067"/>
      <c r="E358" s="1068"/>
      <c r="F358" s="436">
        <f t="shared" ref="F358:F371" si="38">K277</f>
        <v>0</v>
      </c>
      <c r="G358" s="429"/>
      <c r="H358" s="431"/>
      <c r="I358" s="431"/>
      <c r="J358" s="428"/>
      <c r="K358" s="428"/>
      <c r="L358" s="428"/>
      <c r="M358" s="428"/>
      <c r="N358" s="428"/>
      <c r="O358" s="428"/>
      <c r="P358" s="428"/>
      <c r="Q358" s="428"/>
      <c r="R358" s="428"/>
      <c r="S358" s="432">
        <f>SUM(G358:R358)</f>
        <v>0</v>
      </c>
    </row>
    <row r="359" spans="1:19" x14ac:dyDescent="0.2">
      <c r="A359" s="191"/>
      <c r="B359" s="1097"/>
      <c r="C359" s="1066" t="s">
        <v>3357</v>
      </c>
      <c r="D359" s="1067"/>
      <c r="E359" s="1068"/>
      <c r="F359" s="436">
        <f t="shared" si="38"/>
        <v>0</v>
      </c>
      <c r="G359" s="429"/>
      <c r="H359" s="428"/>
      <c r="I359" s="428"/>
      <c r="J359" s="428"/>
      <c r="K359" s="428"/>
      <c r="L359" s="428"/>
      <c r="M359" s="428"/>
      <c r="N359" s="428"/>
      <c r="O359" s="428"/>
      <c r="P359" s="428"/>
      <c r="Q359" s="428"/>
      <c r="R359" s="428"/>
      <c r="S359" s="432">
        <f t="shared" si="35"/>
        <v>0</v>
      </c>
    </row>
    <row r="360" spans="1:19" x14ac:dyDescent="0.2">
      <c r="A360" s="191"/>
      <c r="B360" s="1097"/>
      <c r="C360" s="1066" t="s">
        <v>3358</v>
      </c>
      <c r="D360" s="1067"/>
      <c r="E360" s="1068"/>
      <c r="F360" s="436">
        <f t="shared" si="38"/>
        <v>0</v>
      </c>
      <c r="G360" s="429"/>
      <c r="H360" s="428"/>
      <c r="I360" s="428"/>
      <c r="J360" s="428"/>
      <c r="K360" s="428"/>
      <c r="L360" s="428"/>
      <c r="M360" s="428"/>
      <c r="N360" s="428"/>
      <c r="O360" s="428"/>
      <c r="P360" s="428"/>
      <c r="Q360" s="428"/>
      <c r="R360" s="428"/>
      <c r="S360" s="432">
        <f t="shared" si="35"/>
        <v>0</v>
      </c>
    </row>
    <row r="361" spans="1:19" x14ac:dyDescent="0.2">
      <c r="A361" s="191"/>
      <c r="B361" s="1097"/>
      <c r="C361" s="1066" t="s">
        <v>3390</v>
      </c>
      <c r="D361" s="1067"/>
      <c r="E361" s="1068"/>
      <c r="F361" s="436">
        <f t="shared" si="38"/>
        <v>0</v>
      </c>
      <c r="G361" s="429"/>
      <c r="H361" s="427"/>
      <c r="I361" s="427"/>
      <c r="J361" s="428"/>
      <c r="K361" s="428"/>
      <c r="L361" s="428"/>
      <c r="M361" s="428"/>
      <c r="N361" s="428"/>
      <c r="O361" s="428"/>
      <c r="P361" s="428"/>
      <c r="Q361" s="428"/>
      <c r="R361" s="428"/>
      <c r="S361" s="432">
        <f t="shared" si="35"/>
        <v>0</v>
      </c>
    </row>
    <row r="362" spans="1:19" ht="15" x14ac:dyDescent="0.25">
      <c r="A362" s="191"/>
      <c r="B362" s="1097"/>
      <c r="C362" s="1093" t="s">
        <v>3359</v>
      </c>
      <c r="D362" s="1094"/>
      <c r="E362" s="1095"/>
      <c r="F362" s="436">
        <f t="shared" si="38"/>
        <v>0</v>
      </c>
      <c r="G362" s="429"/>
      <c r="H362" s="428"/>
      <c r="I362" s="428"/>
      <c r="J362" s="428"/>
      <c r="K362" s="428"/>
      <c r="L362" s="428"/>
      <c r="M362" s="428"/>
      <c r="N362" s="428"/>
      <c r="O362" s="428"/>
      <c r="P362" s="428"/>
      <c r="Q362" s="428"/>
      <c r="R362" s="428"/>
      <c r="S362" s="432">
        <f t="shared" si="35"/>
        <v>0</v>
      </c>
    </row>
    <row r="363" spans="1:19" ht="15" x14ac:dyDescent="0.25">
      <c r="A363" s="191"/>
      <c r="B363" s="1097"/>
      <c r="C363" s="1093" t="s">
        <v>3360</v>
      </c>
      <c r="D363" s="1094"/>
      <c r="E363" s="1095"/>
      <c r="F363" s="436">
        <f t="shared" si="38"/>
        <v>0</v>
      </c>
      <c r="G363" s="429"/>
      <c r="H363" s="428"/>
      <c r="I363" s="428"/>
      <c r="J363" s="428"/>
      <c r="K363" s="428"/>
      <c r="L363" s="428"/>
      <c r="M363" s="428"/>
      <c r="N363" s="428"/>
      <c r="O363" s="428"/>
      <c r="P363" s="428"/>
      <c r="Q363" s="428"/>
      <c r="R363" s="428"/>
      <c r="S363" s="432">
        <f t="shared" si="35"/>
        <v>0</v>
      </c>
    </row>
    <row r="364" spans="1:19" ht="15" x14ac:dyDescent="0.25">
      <c r="A364" s="191"/>
      <c r="B364" s="1097"/>
      <c r="C364" s="1093" t="s">
        <v>3361</v>
      </c>
      <c r="D364" s="1094"/>
      <c r="E364" s="1095"/>
      <c r="F364" s="436">
        <f t="shared" si="38"/>
        <v>0</v>
      </c>
      <c r="G364" s="429"/>
      <c r="H364" s="427"/>
      <c r="I364" s="427"/>
      <c r="J364" s="428"/>
      <c r="K364" s="428"/>
      <c r="L364" s="428"/>
      <c r="M364" s="428"/>
      <c r="N364" s="428"/>
      <c r="O364" s="428"/>
      <c r="P364" s="428"/>
      <c r="Q364" s="428"/>
      <c r="R364" s="428"/>
      <c r="S364" s="432">
        <f t="shared" si="35"/>
        <v>0</v>
      </c>
    </row>
    <row r="365" spans="1:19" ht="15" x14ac:dyDescent="0.25">
      <c r="A365" s="191"/>
      <c r="B365" s="1097"/>
      <c r="C365" s="1093" t="s">
        <v>3362</v>
      </c>
      <c r="D365" s="1094"/>
      <c r="E365" s="1095"/>
      <c r="F365" s="436">
        <f t="shared" si="38"/>
        <v>0</v>
      </c>
      <c r="G365" s="429"/>
      <c r="H365" s="427"/>
      <c r="I365" s="427"/>
      <c r="J365" s="428"/>
      <c r="K365" s="428"/>
      <c r="L365" s="428"/>
      <c r="M365" s="428"/>
      <c r="N365" s="428"/>
      <c r="O365" s="428"/>
      <c r="P365" s="428"/>
      <c r="Q365" s="428"/>
      <c r="R365" s="428"/>
      <c r="S365" s="432">
        <f t="shared" si="35"/>
        <v>0</v>
      </c>
    </row>
    <row r="366" spans="1:19" ht="15" x14ac:dyDescent="0.25">
      <c r="A366" s="191"/>
      <c r="B366" s="1097"/>
      <c r="C366" s="1093" t="s">
        <v>3363</v>
      </c>
      <c r="D366" s="1094"/>
      <c r="E366" s="1095"/>
      <c r="F366" s="436">
        <f t="shared" si="38"/>
        <v>0</v>
      </c>
      <c r="G366" s="429"/>
      <c r="H366" s="428"/>
      <c r="I366" s="428"/>
      <c r="J366" s="428"/>
      <c r="K366" s="428"/>
      <c r="L366" s="428"/>
      <c r="M366" s="428"/>
      <c r="N366" s="428"/>
      <c r="O366" s="428"/>
      <c r="P366" s="428"/>
      <c r="Q366" s="428"/>
      <c r="R366" s="428"/>
      <c r="S366" s="432">
        <f t="shared" si="35"/>
        <v>0</v>
      </c>
    </row>
    <row r="367" spans="1:19" ht="15" x14ac:dyDescent="0.25">
      <c r="A367" s="191"/>
      <c r="B367" s="1097"/>
      <c r="C367" s="1093" t="s">
        <v>3364</v>
      </c>
      <c r="D367" s="1094"/>
      <c r="E367" s="1095"/>
      <c r="F367" s="436">
        <f t="shared" si="38"/>
        <v>0</v>
      </c>
      <c r="G367" s="429"/>
      <c r="H367" s="427"/>
      <c r="I367" s="427"/>
      <c r="J367" s="428"/>
      <c r="K367" s="428"/>
      <c r="L367" s="428"/>
      <c r="M367" s="428"/>
      <c r="N367" s="428"/>
      <c r="O367" s="428"/>
      <c r="P367" s="428"/>
      <c r="Q367" s="428"/>
      <c r="R367" s="428"/>
      <c r="S367" s="432">
        <f t="shared" si="35"/>
        <v>0</v>
      </c>
    </row>
    <row r="368" spans="1:19" x14ac:dyDescent="0.2">
      <c r="A368" s="191"/>
      <c r="B368" s="1097"/>
      <c r="C368" s="1066" t="s">
        <v>3365</v>
      </c>
      <c r="D368" s="1067"/>
      <c r="E368" s="1068"/>
      <c r="F368" s="436">
        <f t="shared" si="38"/>
        <v>0</v>
      </c>
      <c r="G368" s="429"/>
      <c r="H368" s="428"/>
      <c r="I368" s="428"/>
      <c r="J368" s="428"/>
      <c r="K368" s="428"/>
      <c r="L368" s="428"/>
      <c r="M368" s="428"/>
      <c r="N368" s="428"/>
      <c r="O368" s="428"/>
      <c r="P368" s="428"/>
      <c r="Q368" s="428"/>
      <c r="R368" s="428"/>
      <c r="S368" s="432">
        <f t="shared" si="35"/>
        <v>0</v>
      </c>
    </row>
    <row r="369" spans="1:19" x14ac:dyDescent="0.2">
      <c r="A369" s="191"/>
      <c r="B369" s="1097"/>
      <c r="C369" s="1066" t="s">
        <v>3366</v>
      </c>
      <c r="D369" s="1067"/>
      <c r="E369" s="1068"/>
      <c r="F369" s="436">
        <f t="shared" si="38"/>
        <v>0</v>
      </c>
      <c r="G369" s="429"/>
      <c r="H369" s="428"/>
      <c r="I369" s="428"/>
      <c r="J369" s="428"/>
      <c r="K369" s="428"/>
      <c r="L369" s="428"/>
      <c r="M369" s="428"/>
      <c r="N369" s="428"/>
      <c r="O369" s="428"/>
      <c r="P369" s="428"/>
      <c r="Q369" s="428"/>
      <c r="R369" s="428"/>
      <c r="S369" s="432">
        <f t="shared" si="35"/>
        <v>0</v>
      </c>
    </row>
    <row r="370" spans="1:19" x14ac:dyDescent="0.2">
      <c r="A370" s="191"/>
      <c r="B370" s="1097"/>
      <c r="C370" s="151" t="s">
        <v>3389</v>
      </c>
      <c r="D370" s="152" t="str">
        <f>IF(D289="","",D289)</f>
        <v/>
      </c>
      <c r="E370" s="153"/>
      <c r="F370" s="436">
        <f t="shared" si="38"/>
        <v>0</v>
      </c>
      <c r="G370" s="429"/>
      <c r="H370" s="427"/>
      <c r="I370" s="427"/>
      <c r="J370" s="428"/>
      <c r="K370" s="428"/>
      <c r="L370" s="428"/>
      <c r="M370" s="428"/>
      <c r="N370" s="428"/>
      <c r="O370" s="428"/>
      <c r="P370" s="428"/>
      <c r="Q370" s="428"/>
      <c r="R370" s="428"/>
      <c r="S370" s="432">
        <f t="shared" si="35"/>
        <v>0</v>
      </c>
    </row>
    <row r="371" spans="1:19" x14ac:dyDescent="0.2">
      <c r="A371" s="191"/>
      <c r="B371" s="1098"/>
      <c r="C371" s="151" t="s">
        <v>3389</v>
      </c>
      <c r="D371" s="152" t="str">
        <f>IF(D290="","",D290)</f>
        <v/>
      </c>
      <c r="E371" s="153"/>
      <c r="F371" s="436">
        <f t="shared" si="38"/>
        <v>0</v>
      </c>
      <c r="G371" s="429"/>
      <c r="H371" s="431"/>
      <c r="I371" s="431"/>
      <c r="J371" s="433"/>
      <c r="K371" s="433"/>
      <c r="L371" s="433"/>
      <c r="M371" s="433"/>
      <c r="N371" s="433"/>
      <c r="O371" s="433"/>
      <c r="P371" s="433"/>
      <c r="Q371" s="433"/>
      <c r="R371" s="433"/>
      <c r="S371" s="432">
        <f t="shared" si="35"/>
        <v>0</v>
      </c>
    </row>
    <row r="372" spans="1:19" x14ac:dyDescent="0.2">
      <c r="A372" s="191"/>
      <c r="B372" s="62"/>
      <c r="C372" s="63"/>
      <c r="D372" s="64"/>
      <c r="E372" s="64"/>
      <c r="F372" s="437"/>
      <c r="G372" s="437"/>
      <c r="H372" s="437"/>
      <c r="I372" s="437"/>
      <c r="J372" s="437"/>
      <c r="K372" s="437"/>
      <c r="L372" s="437"/>
      <c r="M372" s="437"/>
      <c r="N372" s="437"/>
      <c r="O372" s="437"/>
      <c r="P372" s="437"/>
      <c r="Q372" s="437"/>
      <c r="R372" s="437"/>
      <c r="S372" s="439"/>
    </row>
    <row r="373" spans="1:19" ht="14.25" customHeight="1" x14ac:dyDescent="0.2">
      <c r="A373" s="191"/>
      <c r="B373" s="1096" t="s">
        <v>3531</v>
      </c>
      <c r="C373" s="1066" t="s">
        <v>3367</v>
      </c>
      <c r="D373" s="1067"/>
      <c r="E373" s="1068"/>
      <c r="F373" s="436">
        <f t="shared" ref="F373:F382" si="39">K292</f>
        <v>0</v>
      </c>
      <c r="G373" s="429"/>
      <c r="H373" s="427"/>
      <c r="I373" s="427"/>
      <c r="J373" s="428"/>
      <c r="K373" s="428"/>
      <c r="L373" s="428"/>
      <c r="M373" s="428"/>
      <c r="N373" s="428"/>
      <c r="O373" s="428"/>
      <c r="P373" s="428"/>
      <c r="Q373" s="428"/>
      <c r="R373" s="428"/>
      <c r="S373" s="432">
        <f t="shared" si="35"/>
        <v>0</v>
      </c>
    </row>
    <row r="374" spans="1:19" x14ac:dyDescent="0.2">
      <c r="A374" s="191"/>
      <c r="B374" s="1097"/>
      <c r="C374" s="1066" t="s">
        <v>3368</v>
      </c>
      <c r="D374" s="1067"/>
      <c r="E374" s="1068"/>
      <c r="F374" s="436">
        <f t="shared" si="39"/>
        <v>0</v>
      </c>
      <c r="G374" s="429"/>
      <c r="H374" s="427"/>
      <c r="I374" s="427"/>
      <c r="J374" s="428"/>
      <c r="K374" s="428"/>
      <c r="L374" s="428"/>
      <c r="M374" s="428"/>
      <c r="N374" s="428"/>
      <c r="O374" s="428"/>
      <c r="P374" s="428"/>
      <c r="Q374" s="428"/>
      <c r="R374" s="428"/>
      <c r="S374" s="432">
        <f t="shared" si="35"/>
        <v>0</v>
      </c>
    </row>
    <row r="375" spans="1:19" x14ac:dyDescent="0.2">
      <c r="A375" s="191"/>
      <c r="B375" s="1097"/>
      <c r="C375" s="1066" t="s">
        <v>3369</v>
      </c>
      <c r="D375" s="1067"/>
      <c r="E375" s="1068"/>
      <c r="F375" s="436">
        <f t="shared" si="39"/>
        <v>0</v>
      </c>
      <c r="G375" s="429"/>
      <c r="H375" s="428"/>
      <c r="I375" s="428"/>
      <c r="J375" s="428"/>
      <c r="K375" s="428"/>
      <c r="L375" s="428"/>
      <c r="M375" s="428"/>
      <c r="N375" s="428"/>
      <c r="O375" s="428"/>
      <c r="P375" s="428"/>
      <c r="Q375" s="428"/>
      <c r="R375" s="428"/>
      <c r="S375" s="432">
        <f t="shared" si="35"/>
        <v>0</v>
      </c>
    </row>
    <row r="376" spans="1:19" x14ac:dyDescent="0.2">
      <c r="A376" s="191"/>
      <c r="B376" s="1097"/>
      <c r="C376" s="1066" t="s">
        <v>3370</v>
      </c>
      <c r="D376" s="1067"/>
      <c r="E376" s="1068"/>
      <c r="F376" s="436">
        <f t="shared" si="39"/>
        <v>0</v>
      </c>
      <c r="G376" s="429"/>
      <c r="H376" s="428"/>
      <c r="I376" s="428"/>
      <c r="J376" s="428"/>
      <c r="K376" s="428"/>
      <c r="L376" s="428"/>
      <c r="M376" s="428"/>
      <c r="N376" s="428"/>
      <c r="O376" s="428"/>
      <c r="P376" s="428"/>
      <c r="Q376" s="428"/>
      <c r="R376" s="428"/>
      <c r="S376" s="432">
        <f t="shared" si="35"/>
        <v>0</v>
      </c>
    </row>
    <row r="377" spans="1:19" x14ac:dyDescent="0.2">
      <c r="A377" s="191"/>
      <c r="B377" s="1097"/>
      <c r="C377" s="1066" t="s">
        <v>3371</v>
      </c>
      <c r="D377" s="1067"/>
      <c r="E377" s="1068"/>
      <c r="F377" s="436">
        <f t="shared" si="39"/>
        <v>0</v>
      </c>
      <c r="G377" s="429"/>
      <c r="H377" s="428"/>
      <c r="I377" s="428"/>
      <c r="J377" s="428"/>
      <c r="K377" s="428"/>
      <c r="L377" s="428"/>
      <c r="M377" s="428"/>
      <c r="N377" s="428"/>
      <c r="O377" s="428"/>
      <c r="P377" s="428"/>
      <c r="Q377" s="428"/>
      <c r="R377" s="428"/>
      <c r="S377" s="432">
        <f t="shared" si="35"/>
        <v>0</v>
      </c>
    </row>
    <row r="378" spans="1:19" x14ac:dyDescent="0.2">
      <c r="A378" s="191"/>
      <c r="B378" s="1097"/>
      <c r="C378" s="1066" t="s">
        <v>3372</v>
      </c>
      <c r="D378" s="1067"/>
      <c r="E378" s="1068"/>
      <c r="F378" s="436">
        <f t="shared" si="39"/>
        <v>0</v>
      </c>
      <c r="G378" s="429"/>
      <c r="H378" s="428"/>
      <c r="I378" s="428"/>
      <c r="J378" s="428"/>
      <c r="K378" s="428"/>
      <c r="L378" s="428"/>
      <c r="M378" s="428"/>
      <c r="N378" s="428"/>
      <c r="O378" s="428"/>
      <c r="P378" s="428"/>
      <c r="Q378" s="428"/>
      <c r="R378" s="428"/>
      <c r="S378" s="432">
        <f t="shared" si="35"/>
        <v>0</v>
      </c>
    </row>
    <row r="379" spans="1:19" ht="15" x14ac:dyDescent="0.25">
      <c r="A379" s="191"/>
      <c r="B379" s="1097"/>
      <c r="C379" s="1105" t="s">
        <v>3373</v>
      </c>
      <c r="D379" s="1106"/>
      <c r="E379" s="1107"/>
      <c r="F379" s="436">
        <f t="shared" si="39"/>
        <v>0</v>
      </c>
      <c r="G379" s="429"/>
      <c r="H379" s="428"/>
      <c r="I379" s="428"/>
      <c r="J379" s="428"/>
      <c r="K379" s="428"/>
      <c r="L379" s="428"/>
      <c r="M379" s="428"/>
      <c r="N379" s="428"/>
      <c r="O379" s="428"/>
      <c r="P379" s="428"/>
      <c r="Q379" s="428"/>
      <c r="R379" s="428"/>
      <c r="S379" s="432">
        <f t="shared" si="35"/>
        <v>0</v>
      </c>
    </row>
    <row r="380" spans="1:19" x14ac:dyDescent="0.2">
      <c r="A380" s="191"/>
      <c r="B380" s="1097"/>
      <c r="C380" s="1066" t="s">
        <v>4112</v>
      </c>
      <c r="D380" s="1067"/>
      <c r="E380" s="1068"/>
      <c r="F380" s="436">
        <f t="shared" si="39"/>
        <v>0</v>
      </c>
      <c r="G380" s="429"/>
      <c r="H380" s="428"/>
      <c r="I380" s="428"/>
      <c r="J380" s="428"/>
      <c r="K380" s="428"/>
      <c r="L380" s="428"/>
      <c r="M380" s="428"/>
      <c r="N380" s="428"/>
      <c r="O380" s="428"/>
      <c r="P380" s="428"/>
      <c r="Q380" s="428"/>
      <c r="R380" s="428"/>
      <c r="S380" s="432">
        <f>SUM(G380:R380)</f>
        <v>0</v>
      </c>
    </row>
    <row r="381" spans="1:19" x14ac:dyDescent="0.2">
      <c r="A381" s="191"/>
      <c r="B381" s="1097"/>
      <c r="C381" s="151" t="s">
        <v>3389</v>
      </c>
      <c r="D381" s="152" t="str">
        <f>IF(D300="","",D300)</f>
        <v/>
      </c>
      <c r="E381" s="153"/>
      <c r="F381" s="436">
        <f t="shared" si="39"/>
        <v>0</v>
      </c>
      <c r="G381" s="429"/>
      <c r="H381" s="427"/>
      <c r="I381" s="427"/>
      <c r="J381" s="428"/>
      <c r="K381" s="428"/>
      <c r="L381" s="428"/>
      <c r="M381" s="428"/>
      <c r="N381" s="428"/>
      <c r="O381" s="428"/>
      <c r="P381" s="428"/>
      <c r="Q381" s="428"/>
      <c r="R381" s="428"/>
      <c r="S381" s="432">
        <f t="shared" si="35"/>
        <v>0</v>
      </c>
    </row>
    <row r="382" spans="1:19" x14ac:dyDescent="0.2">
      <c r="A382" s="191"/>
      <c r="B382" s="1098"/>
      <c r="C382" s="151" t="s">
        <v>3389</v>
      </c>
      <c r="D382" s="152" t="str">
        <f>IF(D301="","",D301)</f>
        <v/>
      </c>
      <c r="E382" s="153"/>
      <c r="F382" s="436">
        <f t="shared" si="39"/>
        <v>0</v>
      </c>
      <c r="G382" s="429"/>
      <c r="H382" s="431"/>
      <c r="I382" s="431"/>
      <c r="J382" s="433"/>
      <c r="K382" s="433"/>
      <c r="L382" s="433"/>
      <c r="M382" s="433"/>
      <c r="N382" s="433"/>
      <c r="O382" s="433"/>
      <c r="P382" s="433"/>
      <c r="Q382" s="433"/>
      <c r="R382" s="433"/>
      <c r="S382" s="432">
        <f t="shared" si="35"/>
        <v>0</v>
      </c>
    </row>
    <row r="383" spans="1:19" x14ac:dyDescent="0.2">
      <c r="A383" s="191"/>
      <c r="B383" s="62"/>
      <c r="C383" s="63"/>
      <c r="D383" s="64"/>
      <c r="E383" s="64"/>
      <c r="F383" s="437"/>
      <c r="G383" s="437"/>
      <c r="H383" s="437"/>
      <c r="I383" s="437"/>
      <c r="J383" s="437"/>
      <c r="K383" s="437"/>
      <c r="L383" s="437"/>
      <c r="M383" s="437"/>
      <c r="N383" s="437"/>
      <c r="O383" s="437"/>
      <c r="P383" s="437"/>
      <c r="Q383" s="437"/>
      <c r="R383" s="437"/>
      <c r="S383" s="439"/>
    </row>
    <row r="384" spans="1:19" ht="14.25" customHeight="1" x14ac:dyDescent="0.25">
      <c r="A384" s="191"/>
      <c r="B384" s="1096" t="s">
        <v>3386</v>
      </c>
      <c r="C384" s="1105" t="s">
        <v>3374</v>
      </c>
      <c r="D384" s="1106"/>
      <c r="E384" s="1107"/>
      <c r="F384" s="436">
        <f t="shared" ref="F384:F395" si="40">K303</f>
        <v>0</v>
      </c>
      <c r="G384" s="429"/>
      <c r="H384" s="428"/>
      <c r="I384" s="428"/>
      <c r="J384" s="428"/>
      <c r="K384" s="428"/>
      <c r="L384" s="428"/>
      <c r="M384" s="428"/>
      <c r="N384" s="428"/>
      <c r="O384" s="428"/>
      <c r="P384" s="428"/>
      <c r="Q384" s="428"/>
      <c r="R384" s="428"/>
      <c r="S384" s="432">
        <f t="shared" si="35"/>
        <v>0</v>
      </c>
    </row>
    <row r="385" spans="1:19" ht="15" x14ac:dyDescent="0.25">
      <c r="A385" s="191"/>
      <c r="B385" s="1097"/>
      <c r="C385" s="1105" t="s">
        <v>3375</v>
      </c>
      <c r="D385" s="1106"/>
      <c r="E385" s="1107"/>
      <c r="F385" s="436">
        <f t="shared" si="40"/>
        <v>0</v>
      </c>
      <c r="G385" s="429"/>
      <c r="H385" s="428"/>
      <c r="I385" s="428"/>
      <c r="J385" s="428"/>
      <c r="K385" s="428"/>
      <c r="L385" s="428"/>
      <c r="M385" s="428"/>
      <c r="N385" s="428"/>
      <c r="O385" s="428"/>
      <c r="P385" s="428"/>
      <c r="Q385" s="428"/>
      <c r="R385" s="428"/>
      <c r="S385" s="432">
        <f t="shared" si="35"/>
        <v>0</v>
      </c>
    </row>
    <row r="386" spans="1:19" ht="15" x14ac:dyDescent="0.25">
      <c r="A386" s="191"/>
      <c r="B386" s="1097"/>
      <c r="C386" s="1108" t="s">
        <v>3988</v>
      </c>
      <c r="D386" s="1109"/>
      <c r="E386" s="1110"/>
      <c r="F386" s="436">
        <f t="shared" si="40"/>
        <v>0</v>
      </c>
      <c r="G386" s="429"/>
      <c r="H386" s="428"/>
      <c r="I386" s="428"/>
      <c r="J386" s="428"/>
      <c r="K386" s="428"/>
      <c r="L386" s="428"/>
      <c r="M386" s="428"/>
      <c r="N386" s="428"/>
      <c r="O386" s="428"/>
      <c r="P386" s="428"/>
      <c r="Q386" s="428"/>
      <c r="R386" s="428"/>
      <c r="S386" s="432">
        <f t="shared" si="35"/>
        <v>0</v>
      </c>
    </row>
    <row r="387" spans="1:19" ht="15" x14ac:dyDescent="0.25">
      <c r="A387" s="191"/>
      <c r="B387" s="1097"/>
      <c r="C387" s="1105" t="s">
        <v>4069</v>
      </c>
      <c r="D387" s="1106"/>
      <c r="E387" s="1107"/>
      <c r="F387" s="436">
        <f t="shared" si="40"/>
        <v>0</v>
      </c>
      <c r="G387" s="429"/>
      <c r="H387" s="428"/>
      <c r="I387" s="428"/>
      <c r="J387" s="428"/>
      <c r="K387" s="428"/>
      <c r="L387" s="428"/>
      <c r="M387" s="428"/>
      <c r="N387" s="428"/>
      <c r="O387" s="428"/>
      <c r="P387" s="428"/>
      <c r="Q387" s="428"/>
      <c r="R387" s="428"/>
      <c r="S387" s="432">
        <f t="shared" si="35"/>
        <v>0</v>
      </c>
    </row>
    <row r="388" spans="1:19" ht="15" x14ac:dyDescent="0.25">
      <c r="A388" s="191"/>
      <c r="B388" s="1097"/>
      <c r="C388" s="131" t="s">
        <v>3989</v>
      </c>
      <c r="D388" s="132"/>
      <c r="E388" s="133"/>
      <c r="F388" s="436">
        <f t="shared" si="40"/>
        <v>0</v>
      </c>
      <c r="G388" s="429"/>
      <c r="H388" s="427"/>
      <c r="I388" s="427"/>
      <c r="J388" s="428"/>
      <c r="K388" s="428"/>
      <c r="L388" s="428"/>
      <c r="M388" s="428"/>
      <c r="N388" s="428"/>
      <c r="O388" s="428"/>
      <c r="P388" s="428"/>
      <c r="Q388" s="428"/>
      <c r="R388" s="428"/>
      <c r="S388" s="432">
        <f t="shared" si="35"/>
        <v>0</v>
      </c>
    </row>
    <row r="389" spans="1:19" ht="15" x14ac:dyDescent="0.25">
      <c r="A389" s="191"/>
      <c r="B389" s="1097"/>
      <c r="C389" s="131" t="s">
        <v>3990</v>
      </c>
      <c r="D389" s="132"/>
      <c r="E389" s="133"/>
      <c r="F389" s="436">
        <f t="shared" si="40"/>
        <v>0</v>
      </c>
      <c r="G389" s="429"/>
      <c r="H389" s="427"/>
      <c r="I389" s="427"/>
      <c r="J389" s="428"/>
      <c r="K389" s="428"/>
      <c r="L389" s="428"/>
      <c r="M389" s="428"/>
      <c r="N389" s="428"/>
      <c r="O389" s="428"/>
      <c r="P389" s="428"/>
      <c r="Q389" s="428"/>
      <c r="R389" s="428"/>
      <c r="S389" s="432">
        <f t="shared" si="35"/>
        <v>0</v>
      </c>
    </row>
    <row r="390" spans="1:19" ht="15" x14ac:dyDescent="0.25">
      <c r="A390" s="191"/>
      <c r="B390" s="1097"/>
      <c r="C390" s="131" t="s">
        <v>3991</v>
      </c>
      <c r="D390" s="132"/>
      <c r="E390" s="133"/>
      <c r="F390" s="436">
        <f t="shared" si="40"/>
        <v>0</v>
      </c>
      <c r="G390" s="429"/>
      <c r="H390" s="427"/>
      <c r="I390" s="427"/>
      <c r="J390" s="428"/>
      <c r="K390" s="428"/>
      <c r="L390" s="428"/>
      <c r="M390" s="428"/>
      <c r="N390" s="428"/>
      <c r="O390" s="428"/>
      <c r="P390" s="428"/>
      <c r="Q390" s="428"/>
      <c r="R390" s="428"/>
      <c r="S390" s="432">
        <f t="shared" si="35"/>
        <v>0</v>
      </c>
    </row>
    <row r="391" spans="1:19" ht="15" x14ac:dyDescent="0.25">
      <c r="A391" s="191"/>
      <c r="B391" s="1097"/>
      <c r="C391" s="1105" t="s">
        <v>3376</v>
      </c>
      <c r="D391" s="1106"/>
      <c r="E391" s="1107"/>
      <c r="F391" s="436">
        <f t="shared" si="40"/>
        <v>0</v>
      </c>
      <c r="G391" s="429"/>
      <c r="H391" s="427"/>
      <c r="I391" s="427"/>
      <c r="J391" s="428"/>
      <c r="K391" s="428"/>
      <c r="L391" s="428"/>
      <c r="M391" s="428"/>
      <c r="N391" s="428"/>
      <c r="O391" s="428"/>
      <c r="P391" s="428"/>
      <c r="Q391" s="428"/>
      <c r="R391" s="428"/>
      <c r="S391" s="432">
        <f t="shared" si="35"/>
        <v>0</v>
      </c>
    </row>
    <row r="392" spans="1:19" ht="15" x14ac:dyDescent="0.25">
      <c r="A392" s="191"/>
      <c r="B392" s="1097"/>
      <c r="C392" s="1105" t="s">
        <v>3377</v>
      </c>
      <c r="D392" s="1106"/>
      <c r="E392" s="1107"/>
      <c r="F392" s="436">
        <f t="shared" si="40"/>
        <v>0</v>
      </c>
      <c r="G392" s="429"/>
      <c r="H392" s="427"/>
      <c r="I392" s="427"/>
      <c r="J392" s="428"/>
      <c r="K392" s="428"/>
      <c r="L392" s="428"/>
      <c r="M392" s="428"/>
      <c r="N392" s="428"/>
      <c r="O392" s="428"/>
      <c r="P392" s="428"/>
      <c r="Q392" s="428"/>
      <c r="R392" s="428"/>
      <c r="S392" s="432">
        <f t="shared" si="35"/>
        <v>0</v>
      </c>
    </row>
    <row r="393" spans="1:19" ht="15" x14ac:dyDescent="0.25">
      <c r="A393" s="191"/>
      <c r="B393" s="1097"/>
      <c r="C393" s="1105" t="s">
        <v>4113</v>
      </c>
      <c r="D393" s="1106"/>
      <c r="E393" s="1107"/>
      <c r="F393" s="436">
        <f t="shared" si="40"/>
        <v>0</v>
      </c>
      <c r="G393" s="429"/>
      <c r="H393" s="427"/>
      <c r="I393" s="427"/>
      <c r="J393" s="428"/>
      <c r="K393" s="428"/>
      <c r="L393" s="428"/>
      <c r="M393" s="428"/>
      <c r="N393" s="428"/>
      <c r="O393" s="428"/>
      <c r="P393" s="428"/>
      <c r="Q393" s="428"/>
      <c r="R393" s="428"/>
      <c r="S393" s="432">
        <f t="shared" si="35"/>
        <v>0</v>
      </c>
    </row>
    <row r="394" spans="1:19" ht="15" x14ac:dyDescent="0.25">
      <c r="A394" s="191"/>
      <c r="B394" s="1097"/>
      <c r="C394" s="154" t="s">
        <v>3389</v>
      </c>
      <c r="D394" s="155" t="str">
        <f>IF(D313="","",D313)</f>
        <v/>
      </c>
      <c r="E394" s="156"/>
      <c r="F394" s="436">
        <f t="shared" si="40"/>
        <v>0</v>
      </c>
      <c r="G394" s="429"/>
      <c r="H394" s="427"/>
      <c r="I394" s="427"/>
      <c r="J394" s="428"/>
      <c r="K394" s="428"/>
      <c r="L394" s="428"/>
      <c r="M394" s="428"/>
      <c r="N394" s="428"/>
      <c r="O394" s="428"/>
      <c r="P394" s="428"/>
      <c r="Q394" s="428"/>
      <c r="R394" s="428"/>
      <c r="S394" s="432">
        <f t="shared" si="35"/>
        <v>0</v>
      </c>
    </row>
    <row r="395" spans="1:19" ht="15" x14ac:dyDescent="0.25">
      <c r="A395" s="191"/>
      <c r="B395" s="1098"/>
      <c r="C395" s="154" t="s">
        <v>3389</v>
      </c>
      <c r="D395" s="155" t="str">
        <f>IF(D314="","",D314)</f>
        <v/>
      </c>
      <c r="E395" s="156"/>
      <c r="F395" s="436">
        <f t="shared" si="40"/>
        <v>0</v>
      </c>
      <c r="G395" s="429"/>
      <c r="H395" s="431"/>
      <c r="I395" s="431"/>
      <c r="J395" s="433"/>
      <c r="K395" s="433"/>
      <c r="L395" s="433"/>
      <c r="M395" s="433"/>
      <c r="N395" s="433"/>
      <c r="O395" s="433"/>
      <c r="P395" s="433"/>
      <c r="Q395" s="433"/>
      <c r="R395" s="433"/>
      <c r="S395" s="432">
        <f t="shared" si="35"/>
        <v>0</v>
      </c>
    </row>
    <row r="396" spans="1:19" x14ac:dyDescent="0.2">
      <c r="A396" s="191"/>
      <c r="B396" s="62"/>
      <c r="C396" s="63"/>
      <c r="D396" s="64"/>
      <c r="E396" s="64"/>
      <c r="F396" s="437"/>
      <c r="G396" s="437"/>
      <c r="H396" s="437"/>
      <c r="I396" s="437"/>
      <c r="J396" s="437"/>
      <c r="K396" s="437"/>
      <c r="L396" s="437"/>
      <c r="M396" s="437"/>
      <c r="N396" s="437"/>
      <c r="O396" s="437"/>
      <c r="P396" s="437"/>
      <c r="Q396" s="437"/>
      <c r="R396" s="437"/>
      <c r="S396" s="439"/>
    </row>
    <row r="397" spans="1:19" ht="14.25" customHeight="1" x14ac:dyDescent="0.2">
      <c r="A397" s="191"/>
      <c r="B397" s="1096" t="s">
        <v>3387</v>
      </c>
      <c r="C397" s="1066" t="s">
        <v>3378</v>
      </c>
      <c r="D397" s="1067"/>
      <c r="E397" s="1068"/>
      <c r="F397" s="436">
        <f>K316</f>
        <v>0</v>
      </c>
      <c r="G397" s="429"/>
      <c r="H397" s="428"/>
      <c r="I397" s="428"/>
      <c r="J397" s="428"/>
      <c r="K397" s="428"/>
      <c r="L397" s="428"/>
      <c r="M397" s="428"/>
      <c r="N397" s="428"/>
      <c r="O397" s="428"/>
      <c r="P397" s="428"/>
      <c r="Q397" s="428"/>
      <c r="R397" s="428"/>
      <c r="S397" s="432">
        <f t="shared" si="35"/>
        <v>0</v>
      </c>
    </row>
    <row r="398" spans="1:19" x14ac:dyDescent="0.2">
      <c r="A398" s="191"/>
      <c r="B398" s="1097"/>
      <c r="C398" s="1066" t="s">
        <v>3379</v>
      </c>
      <c r="D398" s="1067"/>
      <c r="E398" s="1068"/>
      <c r="F398" s="436">
        <f>K317</f>
        <v>0</v>
      </c>
      <c r="G398" s="429"/>
      <c r="H398" s="428"/>
      <c r="I398" s="428"/>
      <c r="J398" s="428"/>
      <c r="K398" s="428"/>
      <c r="L398" s="428"/>
      <c r="M398" s="428"/>
      <c r="N398" s="428"/>
      <c r="O398" s="428"/>
      <c r="P398" s="428"/>
      <c r="Q398" s="428"/>
      <c r="R398" s="428"/>
      <c r="S398" s="432">
        <f t="shared" si="35"/>
        <v>0</v>
      </c>
    </row>
    <row r="399" spans="1:19" x14ac:dyDescent="0.2">
      <c r="A399" s="191"/>
      <c r="B399" s="1097"/>
      <c r="C399" s="1066" t="s">
        <v>3380</v>
      </c>
      <c r="D399" s="1067"/>
      <c r="E399" s="1068"/>
      <c r="F399" s="436">
        <f>K318</f>
        <v>0</v>
      </c>
      <c r="G399" s="429"/>
      <c r="H399" s="428"/>
      <c r="I399" s="428"/>
      <c r="J399" s="428"/>
      <c r="K399" s="428"/>
      <c r="L399" s="428"/>
      <c r="M399" s="428"/>
      <c r="N399" s="428"/>
      <c r="O399" s="428"/>
      <c r="P399" s="428"/>
      <c r="Q399" s="428"/>
      <c r="R399" s="428"/>
      <c r="S399" s="432">
        <f t="shared" si="35"/>
        <v>0</v>
      </c>
    </row>
    <row r="400" spans="1:19" x14ac:dyDescent="0.2">
      <c r="A400" s="191"/>
      <c r="B400" s="1097"/>
      <c r="C400" s="151" t="s">
        <v>3389</v>
      </c>
      <c r="D400" s="152" t="str">
        <f>IF(D319="","",D319)</f>
        <v/>
      </c>
      <c r="E400" s="153"/>
      <c r="F400" s="436">
        <f>K319</f>
        <v>0</v>
      </c>
      <c r="G400" s="429"/>
      <c r="H400" s="427"/>
      <c r="I400" s="427"/>
      <c r="J400" s="428"/>
      <c r="K400" s="428"/>
      <c r="L400" s="428"/>
      <c r="M400" s="428"/>
      <c r="N400" s="428"/>
      <c r="O400" s="428"/>
      <c r="P400" s="428"/>
      <c r="Q400" s="428"/>
      <c r="R400" s="428"/>
      <c r="S400" s="432">
        <f t="shared" si="35"/>
        <v>0</v>
      </c>
    </row>
    <row r="401" spans="1:19" x14ac:dyDescent="0.2">
      <c r="A401" s="191"/>
      <c r="B401" s="1098"/>
      <c r="C401" s="151" t="s">
        <v>3389</v>
      </c>
      <c r="D401" s="152" t="str">
        <f>IF(D320="","",D320)</f>
        <v/>
      </c>
      <c r="E401" s="153"/>
      <c r="F401" s="436">
        <f>K320</f>
        <v>0</v>
      </c>
      <c r="G401" s="429"/>
      <c r="H401" s="431"/>
      <c r="I401" s="431"/>
      <c r="J401" s="433"/>
      <c r="K401" s="433"/>
      <c r="L401" s="433"/>
      <c r="M401" s="433"/>
      <c r="N401" s="433"/>
      <c r="O401" s="433"/>
      <c r="P401" s="433"/>
      <c r="Q401" s="433"/>
      <c r="R401" s="433"/>
      <c r="S401" s="432">
        <f t="shared" si="35"/>
        <v>0</v>
      </c>
    </row>
    <row r="402" spans="1:19" x14ac:dyDescent="0.2">
      <c r="A402" s="191"/>
      <c r="B402" s="62"/>
      <c r="C402" s="63"/>
      <c r="D402" s="64"/>
      <c r="E402" s="64"/>
      <c r="F402" s="437"/>
      <c r="G402" s="437"/>
      <c r="H402" s="437"/>
      <c r="I402" s="437"/>
      <c r="J402" s="437"/>
      <c r="K402" s="437"/>
      <c r="L402" s="437"/>
      <c r="M402" s="437"/>
      <c r="N402" s="437"/>
      <c r="O402" s="437"/>
      <c r="P402" s="437"/>
      <c r="Q402" s="437"/>
      <c r="R402" s="437"/>
      <c r="S402" s="439"/>
    </row>
    <row r="403" spans="1:19" ht="14.25" customHeight="1" x14ac:dyDescent="0.2">
      <c r="A403" s="191"/>
      <c r="B403" s="1096" t="s">
        <v>3388</v>
      </c>
      <c r="C403" s="1066" t="s">
        <v>3381</v>
      </c>
      <c r="D403" s="1067"/>
      <c r="E403" s="1068"/>
      <c r="F403" s="436">
        <f>K322</f>
        <v>0</v>
      </c>
      <c r="G403" s="429"/>
      <c r="H403" s="428"/>
      <c r="I403" s="428"/>
      <c r="J403" s="428"/>
      <c r="K403" s="428"/>
      <c r="L403" s="428"/>
      <c r="M403" s="428"/>
      <c r="N403" s="428"/>
      <c r="O403" s="428"/>
      <c r="P403" s="428"/>
      <c r="Q403" s="428"/>
      <c r="R403" s="428"/>
      <c r="S403" s="432">
        <f>SUM(G403:R403)</f>
        <v>0</v>
      </c>
    </row>
    <row r="404" spans="1:19" x14ac:dyDescent="0.2">
      <c r="A404" s="191"/>
      <c r="B404" s="1097"/>
      <c r="C404" s="1066" t="s">
        <v>3382</v>
      </c>
      <c r="D404" s="1067"/>
      <c r="E404" s="1068"/>
      <c r="F404" s="436">
        <f>K323</f>
        <v>0</v>
      </c>
      <c r="G404" s="429"/>
      <c r="H404" s="427"/>
      <c r="I404" s="427"/>
      <c r="J404" s="428"/>
      <c r="K404" s="428"/>
      <c r="L404" s="428"/>
      <c r="M404" s="428"/>
      <c r="N404" s="428"/>
      <c r="O404" s="428"/>
      <c r="P404" s="428"/>
      <c r="Q404" s="428"/>
      <c r="R404" s="428"/>
      <c r="S404" s="432">
        <f>SUM(G404:R404)</f>
        <v>0</v>
      </c>
    </row>
    <row r="405" spans="1:19" x14ac:dyDescent="0.2">
      <c r="A405" s="191"/>
      <c r="B405" s="1097"/>
      <c r="C405" s="151" t="s">
        <v>3389</v>
      </c>
      <c r="D405" s="152" t="str">
        <f>IF(D324="","",D324)</f>
        <v/>
      </c>
      <c r="E405" s="153"/>
      <c r="F405" s="436">
        <f>K324</f>
        <v>0</v>
      </c>
      <c r="G405" s="429"/>
      <c r="H405" s="427"/>
      <c r="I405" s="427"/>
      <c r="J405" s="428"/>
      <c r="K405" s="428"/>
      <c r="L405" s="428"/>
      <c r="M405" s="428"/>
      <c r="N405" s="428"/>
      <c r="O405" s="428"/>
      <c r="P405" s="428"/>
      <c r="Q405" s="428"/>
      <c r="R405" s="428"/>
      <c r="S405" s="432">
        <f>SUM(G405:R405)</f>
        <v>0</v>
      </c>
    </row>
    <row r="406" spans="1:19" x14ac:dyDescent="0.2">
      <c r="A406" s="191"/>
      <c r="B406" s="1098"/>
      <c r="C406" s="151" t="s">
        <v>3389</v>
      </c>
      <c r="D406" s="152" t="str">
        <f>IF(D325="","",D325)</f>
        <v/>
      </c>
      <c r="E406" s="153"/>
      <c r="F406" s="436">
        <f>K325</f>
        <v>0</v>
      </c>
      <c r="G406" s="429"/>
      <c r="H406" s="431"/>
      <c r="I406" s="431"/>
      <c r="J406" s="433"/>
      <c r="K406" s="433"/>
      <c r="L406" s="433"/>
      <c r="M406" s="433"/>
      <c r="N406" s="433"/>
      <c r="O406" s="433"/>
      <c r="P406" s="433"/>
      <c r="Q406" s="433"/>
      <c r="R406" s="433"/>
      <c r="S406" s="432">
        <f>SUM(G406:R406)</f>
        <v>0</v>
      </c>
    </row>
    <row r="407" spans="1:19" x14ac:dyDescent="0.2">
      <c r="A407" s="191"/>
      <c r="B407" s="62"/>
      <c r="C407" s="63"/>
      <c r="D407" s="64"/>
      <c r="E407" s="64"/>
      <c r="F407" s="437"/>
      <c r="G407" s="437"/>
      <c r="H407" s="437"/>
      <c r="I407" s="437"/>
      <c r="J407" s="437"/>
      <c r="K407" s="437"/>
      <c r="L407" s="437"/>
      <c r="M407" s="437"/>
      <c r="N407" s="437"/>
      <c r="O407" s="437"/>
      <c r="P407" s="437"/>
      <c r="Q407" s="437"/>
      <c r="R407" s="437"/>
      <c r="S407" s="439"/>
    </row>
    <row r="408" spans="1:19" ht="15" x14ac:dyDescent="0.25">
      <c r="A408" s="191"/>
      <c r="C408" s="1158" t="s">
        <v>3383</v>
      </c>
      <c r="D408" s="1159"/>
      <c r="E408" s="1160"/>
      <c r="F408" s="440"/>
      <c r="G408" s="440">
        <f t="shared" ref="G408:S408" si="41">SUM(G335:G407)</f>
        <v>0</v>
      </c>
      <c r="H408" s="435">
        <f t="shared" si="41"/>
        <v>0</v>
      </c>
      <c r="I408" s="435">
        <f t="shared" si="41"/>
        <v>0</v>
      </c>
      <c r="J408" s="435">
        <f t="shared" si="41"/>
        <v>0</v>
      </c>
      <c r="K408" s="435">
        <f t="shared" si="41"/>
        <v>0</v>
      </c>
      <c r="L408" s="435">
        <f t="shared" si="41"/>
        <v>0</v>
      </c>
      <c r="M408" s="435">
        <f t="shared" si="41"/>
        <v>0</v>
      </c>
      <c r="N408" s="435">
        <f t="shared" si="41"/>
        <v>0</v>
      </c>
      <c r="O408" s="435">
        <f t="shared" si="41"/>
        <v>0</v>
      </c>
      <c r="P408" s="435">
        <f t="shared" si="41"/>
        <v>0</v>
      </c>
      <c r="Q408" s="435">
        <f t="shared" si="41"/>
        <v>0</v>
      </c>
      <c r="R408" s="435">
        <f t="shared" si="41"/>
        <v>0</v>
      </c>
      <c r="S408" s="435">
        <f t="shared" si="41"/>
        <v>0</v>
      </c>
    </row>
    <row r="409" spans="1:19" ht="15" x14ac:dyDescent="0.25">
      <c r="A409" s="191"/>
      <c r="C409" s="136"/>
      <c r="D409" s="136"/>
      <c r="E409" s="136"/>
      <c r="F409" s="150"/>
      <c r="G409" s="47" t="str">
        <f>IF(G408&lt;&gt;G238,"Error","")</f>
        <v/>
      </c>
      <c r="H409" s="150" t="str">
        <f>IF(H408&lt;&gt;G239,"Error","")</f>
        <v/>
      </c>
      <c r="I409" s="150" t="str">
        <f>IF(I408&lt;&gt;G240,"Error","")</f>
        <v/>
      </c>
      <c r="J409" s="150" t="str">
        <f>IF(J408&lt;&gt;G241,"Error","")</f>
        <v/>
      </c>
      <c r="K409" s="150" t="str">
        <f>IF(K408&lt;&gt;G242,"Error","")</f>
        <v/>
      </c>
      <c r="L409" s="150" t="str">
        <f>IF(L408&lt;&gt;G243,"Error","")</f>
        <v/>
      </c>
      <c r="M409" s="150" t="str">
        <f>IF(M408&lt;&gt;G244,"Error","")</f>
        <v/>
      </c>
      <c r="N409" s="150" t="str">
        <f>IF(N408&lt;&gt;G245,"Error","")</f>
        <v/>
      </c>
      <c r="O409" s="150" t="str">
        <f>IF(O408&lt;&gt;G246,"Error","")</f>
        <v/>
      </c>
      <c r="P409" s="150" t="str">
        <f>IF(P408&lt;&gt;G247,"Error","")</f>
        <v/>
      </c>
      <c r="Q409" s="150" t="str">
        <f>IF(Q408&lt;&gt;G248,"Error","")</f>
        <v/>
      </c>
      <c r="R409" s="150" t="str">
        <f>IF(R408&lt;&gt;G249,"Error","")</f>
        <v/>
      </c>
      <c r="S409" s="136"/>
    </row>
    <row r="410" spans="1:19" ht="27.75" customHeight="1" x14ac:dyDescent="0.2">
      <c r="A410" s="191"/>
      <c r="C410" s="1175" t="s">
        <v>3397</v>
      </c>
      <c r="D410" s="1176"/>
      <c r="E410" s="1176"/>
      <c r="F410" s="1176"/>
      <c r="G410" s="1176"/>
      <c r="H410" s="1176"/>
      <c r="I410" s="1176"/>
      <c r="J410" s="1177"/>
      <c r="K410" s="20"/>
      <c r="L410" s="20"/>
    </row>
    <row r="411" spans="1:19" ht="99.95" customHeight="1" x14ac:dyDescent="0.2">
      <c r="A411" s="191"/>
      <c r="C411" s="1168"/>
      <c r="D411" s="1169"/>
      <c r="E411" s="1169"/>
      <c r="F411" s="1169"/>
      <c r="G411" s="1169"/>
      <c r="H411" s="1169"/>
      <c r="I411" s="1169"/>
      <c r="J411" s="1170"/>
    </row>
    <row r="412" spans="1:19" x14ac:dyDescent="0.2">
      <c r="A412" s="191"/>
      <c r="C412" s="381"/>
      <c r="D412" s="381"/>
      <c r="E412" s="381"/>
      <c r="F412" s="381"/>
      <c r="G412" s="381"/>
      <c r="H412" s="381"/>
      <c r="I412" s="381"/>
      <c r="J412" s="381"/>
    </row>
    <row r="413" spans="1:19" ht="27" customHeight="1" x14ac:dyDescent="0.2">
      <c r="A413" s="191"/>
      <c r="C413" s="1175" t="s">
        <v>4217</v>
      </c>
      <c r="D413" s="1176"/>
      <c r="E413" s="1176"/>
      <c r="F413" s="1176"/>
      <c r="G413" s="1176"/>
      <c r="H413" s="1176"/>
      <c r="I413" s="1176"/>
      <c r="J413" s="1177"/>
      <c r="K413" s="20"/>
      <c r="L413" s="20"/>
    </row>
    <row r="414" spans="1:19" ht="99.95" customHeight="1" x14ac:dyDescent="0.2">
      <c r="C414" s="1168"/>
      <c r="D414" s="1169"/>
      <c r="E414" s="1169"/>
      <c r="F414" s="1169"/>
      <c r="G414" s="1169"/>
      <c r="H414" s="1169"/>
      <c r="I414" s="1169"/>
      <c r="J414" s="1170"/>
    </row>
    <row r="415" spans="1:19" x14ac:dyDescent="0.2">
      <c r="C415" s="381"/>
      <c r="D415" s="381"/>
      <c r="E415" s="381"/>
      <c r="F415" s="381"/>
      <c r="G415" s="381"/>
      <c r="H415" s="381"/>
      <c r="I415" s="381"/>
      <c r="J415" s="381"/>
    </row>
    <row r="416" spans="1:19" x14ac:dyDescent="0.2">
      <c r="C416" s="369"/>
      <c r="D416" s="369"/>
      <c r="E416" s="369"/>
      <c r="F416" s="369"/>
      <c r="G416" s="369"/>
      <c r="H416" s="369"/>
      <c r="I416" s="369"/>
      <c r="J416" s="369"/>
      <c r="S416" s="5"/>
    </row>
    <row r="417" spans="1:19" s="197" customFormat="1" ht="24.95" customHeight="1" x14ac:dyDescent="0.2">
      <c r="A417" s="740" t="s">
        <v>4853</v>
      </c>
      <c r="B417" s="187"/>
      <c r="C417" s="187"/>
      <c r="D417" s="187"/>
      <c r="E417" s="187"/>
      <c r="F417" s="187"/>
      <c r="G417" s="187"/>
      <c r="H417" s="187"/>
      <c r="I417" s="187"/>
      <c r="J417" s="187"/>
      <c r="K417" s="187"/>
      <c r="L417" s="187"/>
      <c r="M417" s="187"/>
      <c r="N417" s="187"/>
      <c r="O417" s="187"/>
      <c r="P417" s="187"/>
      <c r="Q417" s="187"/>
      <c r="R417" s="187"/>
      <c r="S417" s="187"/>
    </row>
    <row r="418" spans="1:19" x14ac:dyDescent="0.2">
      <c r="C418" s="53" t="s">
        <v>4388</v>
      </c>
      <c r="G418" s="592"/>
    </row>
    <row r="419" spans="1:19" x14ac:dyDescent="0.2">
      <c r="C419" s="53" t="s">
        <v>4389</v>
      </c>
      <c r="G419" s="592"/>
    </row>
    <row r="420" spans="1:19" x14ac:dyDescent="0.2">
      <c r="C420" s="53" t="s">
        <v>3598</v>
      </c>
      <c r="G420" s="592"/>
    </row>
    <row r="421" spans="1:19" x14ac:dyDescent="0.2">
      <c r="C421" s="53" t="s">
        <v>4390</v>
      </c>
      <c r="G421" s="592"/>
      <c r="H421" s="37" t="str">
        <f>IF(G421="Yes","Approval Date","")</f>
        <v/>
      </c>
      <c r="I421" s="191"/>
    </row>
    <row r="422" spans="1:19" x14ac:dyDescent="0.2">
      <c r="C422" s="53" t="s">
        <v>4562</v>
      </c>
      <c r="G422" s="592"/>
      <c r="H422" s="37" t="str">
        <f>IF(G421="Yes","# Historic Projects","")</f>
        <v/>
      </c>
      <c r="I422" s="191"/>
    </row>
    <row r="424" spans="1:19" s="197" customFormat="1" ht="24.95" customHeight="1" x14ac:dyDescent="0.2">
      <c r="A424" s="740" t="s">
        <v>3406</v>
      </c>
      <c r="B424" s="187"/>
      <c r="C424" s="187"/>
      <c r="D424" s="187"/>
      <c r="E424" s="187"/>
      <c r="F424" s="187"/>
      <c r="G424" s="187"/>
      <c r="H424" s="187"/>
      <c r="I424" s="187"/>
      <c r="J424" s="187"/>
      <c r="K424" s="187"/>
      <c r="L424" s="187"/>
      <c r="M424" s="187"/>
      <c r="N424" s="187"/>
      <c r="O424" s="187"/>
      <c r="P424" s="187"/>
      <c r="Q424" s="187"/>
      <c r="R424" s="187"/>
    </row>
    <row r="425" spans="1:19" s="196" customFormat="1" ht="30" x14ac:dyDescent="0.25">
      <c r="A425" s="21"/>
      <c r="B425" s="21"/>
      <c r="C425" s="21"/>
      <c r="D425" s="21"/>
      <c r="E425" s="21"/>
      <c r="F425" s="46" t="s">
        <v>3123</v>
      </c>
      <c r="G425" s="46" t="s">
        <v>3444</v>
      </c>
      <c r="H425" s="46" t="s">
        <v>3445</v>
      </c>
      <c r="I425" s="46" t="s">
        <v>3105</v>
      </c>
      <c r="J425" s="23" t="s">
        <v>4414</v>
      </c>
      <c r="K425" s="23" t="s">
        <v>4854</v>
      </c>
      <c r="L425" s="5"/>
      <c r="M425" s="5"/>
      <c r="N425" s="21"/>
      <c r="O425" s="21"/>
      <c r="P425" s="21"/>
      <c r="Q425" s="21"/>
      <c r="R425" s="21"/>
    </row>
    <row r="426" spans="1:19" x14ac:dyDescent="0.2">
      <c r="B426" s="1099" t="s">
        <v>4413</v>
      </c>
      <c r="C426" s="1066" t="s">
        <v>3398</v>
      </c>
      <c r="D426" s="1067"/>
      <c r="E426" s="1068"/>
      <c r="F426" s="428"/>
      <c r="G426" s="428"/>
      <c r="H426" s="428"/>
      <c r="I426" s="432">
        <f t="shared" ref="I426:I435" si="42">SUM(F426:H426)</f>
        <v>0</v>
      </c>
      <c r="J426" s="432" t="e">
        <f>I426/'Project Details'!$C$240</f>
        <v>#DIV/0!</v>
      </c>
      <c r="K426" s="432" t="e">
        <f t="shared" ref="K426:K435" si="43">I426/$C$45</f>
        <v>#DIV/0!</v>
      </c>
    </row>
    <row r="427" spans="1:19" x14ac:dyDescent="0.2">
      <c r="B427" s="1100"/>
      <c r="C427" s="1066" t="s">
        <v>3399</v>
      </c>
      <c r="D427" s="1067"/>
      <c r="E427" s="1068"/>
      <c r="F427" s="428"/>
      <c r="G427" s="428"/>
      <c r="H427" s="428"/>
      <c r="I427" s="432">
        <f t="shared" si="42"/>
        <v>0</v>
      </c>
      <c r="J427" s="432" t="e">
        <f>I427/'Project Details'!$C$240</f>
        <v>#DIV/0!</v>
      </c>
      <c r="K427" s="432" t="e">
        <f t="shared" si="43"/>
        <v>#DIV/0!</v>
      </c>
    </row>
    <row r="428" spans="1:19" x14ac:dyDescent="0.2">
      <c r="B428" s="1100"/>
      <c r="C428" s="1066" t="s">
        <v>3400</v>
      </c>
      <c r="D428" s="1067"/>
      <c r="E428" s="1068"/>
      <c r="F428" s="428"/>
      <c r="G428" s="428"/>
      <c r="H428" s="428"/>
      <c r="I428" s="432">
        <f t="shared" si="42"/>
        <v>0</v>
      </c>
      <c r="J428" s="432" t="e">
        <f>I428/'Project Details'!$C$240</f>
        <v>#DIV/0!</v>
      </c>
      <c r="K428" s="432" t="e">
        <f t="shared" si="43"/>
        <v>#DIV/0!</v>
      </c>
    </row>
    <row r="429" spans="1:19" x14ac:dyDescent="0.2">
      <c r="B429" s="1100"/>
      <c r="C429" s="1066" t="s">
        <v>3401</v>
      </c>
      <c r="D429" s="1067"/>
      <c r="E429" s="1068"/>
      <c r="F429" s="428"/>
      <c r="G429" s="428"/>
      <c r="H429" s="428"/>
      <c r="I429" s="432">
        <f t="shared" si="42"/>
        <v>0</v>
      </c>
      <c r="J429" s="432" t="e">
        <f>I429/'Project Details'!$C$240</f>
        <v>#DIV/0!</v>
      </c>
      <c r="K429" s="432" t="e">
        <f t="shared" si="43"/>
        <v>#DIV/0!</v>
      </c>
    </row>
    <row r="430" spans="1:19" x14ac:dyDescent="0.2">
      <c r="B430" s="1100"/>
      <c r="C430" s="1066" t="s">
        <v>3402</v>
      </c>
      <c r="D430" s="1067"/>
      <c r="E430" s="1068"/>
      <c r="F430" s="428"/>
      <c r="G430" s="428"/>
      <c r="H430" s="428"/>
      <c r="I430" s="432">
        <f t="shared" si="42"/>
        <v>0</v>
      </c>
      <c r="J430" s="432" t="e">
        <f>I430/'Project Details'!$C$240</f>
        <v>#DIV/0!</v>
      </c>
      <c r="K430" s="432" t="e">
        <f t="shared" si="43"/>
        <v>#DIV/0!</v>
      </c>
    </row>
    <row r="431" spans="1:19" x14ac:dyDescent="0.2">
      <c r="B431" s="1100"/>
      <c r="C431" s="1066" t="s">
        <v>3403</v>
      </c>
      <c r="D431" s="1067"/>
      <c r="E431" s="1068"/>
      <c r="F431" s="428"/>
      <c r="G431" s="428"/>
      <c r="H431" s="428"/>
      <c r="I431" s="432">
        <f t="shared" si="42"/>
        <v>0</v>
      </c>
      <c r="J431" s="432" t="e">
        <f>I431/'Project Details'!$C$240</f>
        <v>#DIV/0!</v>
      </c>
      <c r="K431" s="432" t="e">
        <f t="shared" si="43"/>
        <v>#DIV/0!</v>
      </c>
    </row>
    <row r="432" spans="1:19" x14ac:dyDescent="0.2">
      <c r="B432" s="1100"/>
      <c r="C432" s="1066" t="s">
        <v>3404</v>
      </c>
      <c r="D432" s="1067"/>
      <c r="E432" s="1068"/>
      <c r="F432" s="428"/>
      <c r="G432" s="428"/>
      <c r="H432" s="428"/>
      <c r="I432" s="432">
        <f t="shared" si="42"/>
        <v>0</v>
      </c>
      <c r="J432" s="432" t="e">
        <f>I432/'Project Details'!$C$240</f>
        <v>#DIV/0!</v>
      </c>
      <c r="K432" s="432" t="e">
        <f t="shared" si="43"/>
        <v>#DIV/0!</v>
      </c>
    </row>
    <row r="433" spans="1:18" x14ac:dyDescent="0.2">
      <c r="B433" s="1100"/>
      <c r="C433" s="1066" t="s">
        <v>3405</v>
      </c>
      <c r="D433" s="1067"/>
      <c r="E433" s="1068"/>
      <c r="F433" s="428"/>
      <c r="G433" s="428"/>
      <c r="H433" s="428"/>
      <c r="I433" s="432">
        <f t="shared" si="42"/>
        <v>0</v>
      </c>
      <c r="J433" s="432" t="e">
        <f>I433/'Project Details'!$C$240</f>
        <v>#DIV/0!</v>
      </c>
      <c r="K433" s="432" t="e">
        <f t="shared" si="43"/>
        <v>#DIV/0!</v>
      </c>
    </row>
    <row r="434" spans="1:18" x14ac:dyDescent="0.2">
      <c r="B434" s="1100"/>
      <c r="C434" s="10" t="s">
        <v>3080</v>
      </c>
      <c r="D434" s="1123"/>
      <c r="E434" s="1124"/>
      <c r="F434" s="428"/>
      <c r="G434" s="428"/>
      <c r="H434" s="428"/>
      <c r="I434" s="432">
        <f t="shared" si="42"/>
        <v>0</v>
      </c>
      <c r="J434" s="432" t="e">
        <f>I434/'Project Details'!$C$240</f>
        <v>#DIV/0!</v>
      </c>
      <c r="K434" s="432" t="e">
        <f t="shared" si="43"/>
        <v>#DIV/0!</v>
      </c>
      <c r="M434" s="414"/>
      <c r="N434" s="414"/>
      <c r="O434" s="414"/>
    </row>
    <row r="435" spans="1:18" x14ac:dyDescent="0.2">
      <c r="B435" s="1101"/>
      <c r="C435" s="10" t="s">
        <v>3080</v>
      </c>
      <c r="D435" s="1123"/>
      <c r="E435" s="1124"/>
      <c r="F435" s="428"/>
      <c r="G435" s="428"/>
      <c r="H435" s="428"/>
      <c r="I435" s="432">
        <f t="shared" si="42"/>
        <v>0</v>
      </c>
      <c r="J435" s="432" t="e">
        <f>I435/'Project Details'!$C$240</f>
        <v>#DIV/0!</v>
      </c>
      <c r="K435" s="432" t="e">
        <f t="shared" si="43"/>
        <v>#DIV/0!</v>
      </c>
      <c r="M435" s="414"/>
      <c r="N435" s="414"/>
      <c r="O435" s="414"/>
    </row>
    <row r="436" spans="1:18" ht="15" x14ac:dyDescent="0.25">
      <c r="B436" s="21"/>
      <c r="C436" s="1162" t="s">
        <v>4416</v>
      </c>
      <c r="D436" s="1163"/>
      <c r="E436" s="1164"/>
      <c r="F436" s="452">
        <f>SUM(F426:F435)</f>
        <v>0</v>
      </c>
      <c r="G436" s="452">
        <f>SUM(G426:G435)</f>
        <v>0</v>
      </c>
      <c r="H436" s="452">
        <f>SUM(H426:H435)</f>
        <v>0</v>
      </c>
      <c r="I436" s="452">
        <f>SUM(I426:I435)</f>
        <v>0</v>
      </c>
      <c r="J436" s="456" t="str">
        <f>IF(I436&lt;&gt;S351+S353,"ERROR On Site Improvements in Construction Cost Detail Does Not Match Budget","")</f>
        <v/>
      </c>
      <c r="K436" s="457"/>
    </row>
    <row r="437" spans="1:18" x14ac:dyDescent="0.2">
      <c r="F437" s="458"/>
      <c r="G437" s="458"/>
      <c r="H437" s="458"/>
      <c r="I437" s="458"/>
      <c r="J437" s="454"/>
      <c r="K437" s="454"/>
    </row>
    <row r="438" spans="1:18" x14ac:dyDescent="0.2">
      <c r="B438" s="1102" t="s">
        <v>4415</v>
      </c>
      <c r="C438" s="1066" t="s">
        <v>3398</v>
      </c>
      <c r="D438" s="1067"/>
      <c r="E438" s="1068"/>
      <c r="F438" s="428"/>
      <c r="G438" s="428"/>
      <c r="H438" s="428"/>
      <c r="I438" s="432">
        <f t="shared" ref="I438:I445" si="44">SUM(F438:H438)</f>
        <v>0</v>
      </c>
      <c r="J438" s="432" t="e">
        <f>I438/'Project Details'!$C$240</f>
        <v>#DIV/0!</v>
      </c>
      <c r="K438" s="432" t="e">
        <f t="shared" ref="K438:K445" si="45">I438/$C$45</f>
        <v>#DIV/0!</v>
      </c>
    </row>
    <row r="439" spans="1:18" x14ac:dyDescent="0.2">
      <c r="A439" s="191"/>
      <c r="B439" s="1103"/>
      <c r="C439" s="1066" t="s">
        <v>3399</v>
      </c>
      <c r="D439" s="1067"/>
      <c r="E439" s="1068"/>
      <c r="F439" s="428"/>
      <c r="G439" s="428"/>
      <c r="H439" s="428"/>
      <c r="I439" s="432">
        <f t="shared" si="44"/>
        <v>0</v>
      </c>
      <c r="J439" s="432" t="e">
        <f>I439/'Project Details'!$C$240</f>
        <v>#DIV/0!</v>
      </c>
      <c r="K439" s="432" t="e">
        <f t="shared" si="45"/>
        <v>#DIV/0!</v>
      </c>
      <c r="P439" s="191"/>
      <c r="Q439" s="191"/>
      <c r="R439" s="191"/>
    </row>
    <row r="440" spans="1:18" x14ac:dyDescent="0.2">
      <c r="A440" s="191"/>
      <c r="B440" s="1103"/>
      <c r="C440" s="1066" t="s">
        <v>3400</v>
      </c>
      <c r="D440" s="1067"/>
      <c r="E440" s="1068"/>
      <c r="F440" s="428"/>
      <c r="G440" s="428"/>
      <c r="H440" s="428"/>
      <c r="I440" s="432">
        <f t="shared" si="44"/>
        <v>0</v>
      </c>
      <c r="J440" s="432" t="e">
        <f>I440/'Project Details'!$C$240</f>
        <v>#DIV/0!</v>
      </c>
      <c r="K440" s="432" t="e">
        <f t="shared" si="45"/>
        <v>#DIV/0!</v>
      </c>
      <c r="P440" s="191"/>
      <c r="Q440" s="191"/>
      <c r="R440" s="191"/>
    </row>
    <row r="441" spans="1:18" x14ac:dyDescent="0.2">
      <c r="A441" s="191"/>
      <c r="B441" s="1103"/>
      <c r="C441" s="1066" t="s">
        <v>3401</v>
      </c>
      <c r="D441" s="1067"/>
      <c r="E441" s="1068"/>
      <c r="F441" s="428"/>
      <c r="G441" s="428"/>
      <c r="H441" s="428"/>
      <c r="I441" s="432">
        <f t="shared" si="44"/>
        <v>0</v>
      </c>
      <c r="J441" s="432" t="e">
        <f>I441/'Project Details'!$C$240</f>
        <v>#DIV/0!</v>
      </c>
      <c r="K441" s="432" t="e">
        <f t="shared" si="45"/>
        <v>#DIV/0!</v>
      </c>
      <c r="P441" s="191"/>
      <c r="Q441" s="191"/>
      <c r="R441" s="191"/>
    </row>
    <row r="442" spans="1:18" x14ac:dyDescent="0.2">
      <c r="A442" s="191"/>
      <c r="B442" s="1103"/>
      <c r="C442" s="1066" t="s">
        <v>3402</v>
      </c>
      <c r="D442" s="1067"/>
      <c r="E442" s="1068"/>
      <c r="F442" s="428"/>
      <c r="G442" s="428"/>
      <c r="H442" s="428"/>
      <c r="I442" s="432">
        <f t="shared" si="44"/>
        <v>0</v>
      </c>
      <c r="J442" s="432" t="e">
        <f>I442/'Project Details'!$C$240</f>
        <v>#DIV/0!</v>
      </c>
      <c r="K442" s="432" t="e">
        <f t="shared" si="45"/>
        <v>#DIV/0!</v>
      </c>
      <c r="P442" s="191"/>
      <c r="Q442" s="191"/>
      <c r="R442" s="191"/>
    </row>
    <row r="443" spans="1:18" x14ac:dyDescent="0.2">
      <c r="A443" s="191"/>
      <c r="B443" s="1103"/>
      <c r="C443" s="1066" t="s">
        <v>3405</v>
      </c>
      <c r="D443" s="1067"/>
      <c r="E443" s="1068"/>
      <c r="F443" s="428"/>
      <c r="G443" s="428"/>
      <c r="H443" s="428"/>
      <c r="I443" s="432">
        <f t="shared" si="44"/>
        <v>0</v>
      </c>
      <c r="J443" s="432" t="e">
        <f>I443/'Project Details'!$C$240</f>
        <v>#DIV/0!</v>
      </c>
      <c r="K443" s="432" t="e">
        <f t="shared" si="45"/>
        <v>#DIV/0!</v>
      </c>
      <c r="P443" s="191"/>
      <c r="Q443" s="191"/>
      <c r="R443" s="191"/>
    </row>
    <row r="444" spans="1:18" x14ac:dyDescent="0.2">
      <c r="A444" s="191"/>
      <c r="B444" s="1103"/>
      <c r="C444" s="10" t="s">
        <v>3080</v>
      </c>
      <c r="D444" s="1123"/>
      <c r="E444" s="1124"/>
      <c r="F444" s="428"/>
      <c r="G444" s="428"/>
      <c r="H444" s="428"/>
      <c r="I444" s="432">
        <f t="shared" si="44"/>
        <v>0</v>
      </c>
      <c r="J444" s="432" t="e">
        <f>I444/'Project Details'!$C$240</f>
        <v>#DIV/0!</v>
      </c>
      <c r="K444" s="432" t="e">
        <f t="shared" si="45"/>
        <v>#DIV/0!</v>
      </c>
      <c r="M444" s="414"/>
      <c r="N444" s="414"/>
      <c r="O444" s="414"/>
      <c r="P444" s="191"/>
      <c r="Q444" s="191"/>
      <c r="R444" s="191"/>
    </row>
    <row r="445" spans="1:18" x14ac:dyDescent="0.2">
      <c r="A445" s="191"/>
      <c r="B445" s="1104"/>
      <c r="C445" s="10" t="s">
        <v>3080</v>
      </c>
      <c r="D445" s="1123"/>
      <c r="E445" s="1124"/>
      <c r="F445" s="428"/>
      <c r="G445" s="428"/>
      <c r="H445" s="428"/>
      <c r="I445" s="432">
        <f t="shared" si="44"/>
        <v>0</v>
      </c>
      <c r="J445" s="432" t="e">
        <f>I445/'Project Details'!$C$240</f>
        <v>#DIV/0!</v>
      </c>
      <c r="K445" s="432" t="e">
        <f t="shared" si="45"/>
        <v>#DIV/0!</v>
      </c>
      <c r="M445" s="414"/>
      <c r="N445" s="414"/>
      <c r="O445" s="414"/>
      <c r="P445" s="191"/>
      <c r="Q445" s="191"/>
      <c r="R445" s="191"/>
    </row>
    <row r="446" spans="1:18" ht="15" x14ac:dyDescent="0.25">
      <c r="A446" s="191"/>
      <c r="B446" s="21"/>
      <c r="C446" s="1162" t="s">
        <v>4417</v>
      </c>
      <c r="D446" s="1163"/>
      <c r="E446" s="1164"/>
      <c r="F446" s="452">
        <f>SUM(F438:F445)</f>
        <v>0</v>
      </c>
      <c r="G446" s="452">
        <f>SUM(G438:G445)</f>
        <v>0</v>
      </c>
      <c r="H446" s="452">
        <f>SUM(H438:H445)</f>
        <v>0</v>
      </c>
      <c r="I446" s="452">
        <f>SUM(I438:I445)</f>
        <v>0</v>
      </c>
      <c r="J446" s="456" t="str">
        <f>IF(I446&lt;&gt;S352,"ERROR Off Site Improvements in Construction Cost Detail Does Not Match Budget","")</f>
        <v/>
      </c>
      <c r="K446" s="457"/>
      <c r="P446" s="191"/>
      <c r="Q446" s="191"/>
      <c r="R446" s="191"/>
    </row>
    <row r="447" spans="1:18" x14ac:dyDescent="0.2">
      <c r="A447" s="191"/>
      <c r="F447" s="458"/>
      <c r="G447" s="458"/>
      <c r="H447" s="458"/>
      <c r="I447" s="458"/>
      <c r="J447" s="454"/>
      <c r="K447" s="454"/>
      <c r="P447" s="191"/>
      <c r="Q447" s="191"/>
      <c r="R447" s="191"/>
    </row>
    <row r="448" spans="1:18" x14ac:dyDescent="0.2">
      <c r="A448" s="191"/>
      <c r="B448" s="1102" t="s">
        <v>4391</v>
      </c>
      <c r="C448" s="1066" t="s">
        <v>3407</v>
      </c>
      <c r="D448" s="1067"/>
      <c r="E448" s="1068"/>
      <c r="F448" s="428"/>
      <c r="G448" s="428"/>
      <c r="H448" s="428"/>
      <c r="I448" s="432">
        <f t="shared" ref="I448:I479" si="46">SUM(F448:H448)</f>
        <v>0</v>
      </c>
      <c r="J448" s="432" t="e">
        <f>I448/'Project Details'!$C$240</f>
        <v>#DIV/0!</v>
      </c>
      <c r="K448" s="432" t="e">
        <f t="shared" ref="K448:K479" si="47">I448/$C$45</f>
        <v>#DIV/0!</v>
      </c>
      <c r="P448" s="191"/>
      <c r="Q448" s="191"/>
      <c r="R448" s="191"/>
    </row>
    <row r="449" spans="1:18" x14ac:dyDescent="0.2">
      <c r="A449" s="191"/>
      <c r="B449" s="1103"/>
      <c r="C449" s="1066" t="s">
        <v>3408</v>
      </c>
      <c r="D449" s="1067"/>
      <c r="E449" s="1068"/>
      <c r="F449" s="428"/>
      <c r="G449" s="428"/>
      <c r="H449" s="428"/>
      <c r="I449" s="432">
        <f t="shared" si="46"/>
        <v>0</v>
      </c>
      <c r="J449" s="432" t="e">
        <f>I449/'Project Details'!$C$240</f>
        <v>#DIV/0!</v>
      </c>
      <c r="K449" s="432" t="e">
        <f t="shared" si="47"/>
        <v>#DIV/0!</v>
      </c>
      <c r="P449" s="191"/>
      <c r="Q449" s="191"/>
      <c r="R449" s="191"/>
    </row>
    <row r="450" spans="1:18" x14ac:dyDescent="0.2">
      <c r="A450" s="191"/>
      <c r="B450" s="1103"/>
      <c r="C450" s="1066" t="s">
        <v>3409</v>
      </c>
      <c r="D450" s="1067"/>
      <c r="E450" s="1068"/>
      <c r="F450" s="428"/>
      <c r="G450" s="428"/>
      <c r="H450" s="428"/>
      <c r="I450" s="432">
        <f t="shared" si="46"/>
        <v>0</v>
      </c>
      <c r="J450" s="432" t="e">
        <f>I450/'Project Details'!$C$240</f>
        <v>#DIV/0!</v>
      </c>
      <c r="K450" s="432" t="e">
        <f t="shared" si="47"/>
        <v>#DIV/0!</v>
      </c>
      <c r="P450" s="191"/>
      <c r="Q450" s="191"/>
      <c r="R450" s="191"/>
    </row>
    <row r="451" spans="1:18" x14ac:dyDescent="0.2">
      <c r="A451" s="191"/>
      <c r="B451" s="1103"/>
      <c r="C451" s="1066" t="s">
        <v>3410</v>
      </c>
      <c r="D451" s="1067"/>
      <c r="E451" s="1068"/>
      <c r="F451" s="428"/>
      <c r="G451" s="428"/>
      <c r="H451" s="428"/>
      <c r="I451" s="432">
        <f t="shared" si="46"/>
        <v>0</v>
      </c>
      <c r="J451" s="432" t="e">
        <f>I451/'Project Details'!$C$240</f>
        <v>#DIV/0!</v>
      </c>
      <c r="K451" s="432" t="e">
        <f t="shared" si="47"/>
        <v>#DIV/0!</v>
      </c>
      <c r="P451" s="191"/>
      <c r="Q451" s="191"/>
      <c r="R451" s="191"/>
    </row>
    <row r="452" spans="1:18" x14ac:dyDescent="0.2">
      <c r="A452" s="191"/>
      <c r="B452" s="1103"/>
      <c r="C452" s="1066" t="s">
        <v>3411</v>
      </c>
      <c r="D452" s="1067"/>
      <c r="E452" s="1068"/>
      <c r="F452" s="428"/>
      <c r="G452" s="428"/>
      <c r="H452" s="428"/>
      <c r="I452" s="432">
        <f t="shared" si="46"/>
        <v>0</v>
      </c>
      <c r="J452" s="432" t="e">
        <f>I452/'Project Details'!$C$240</f>
        <v>#DIV/0!</v>
      </c>
      <c r="K452" s="432" t="e">
        <f t="shared" si="47"/>
        <v>#DIV/0!</v>
      </c>
      <c r="P452" s="191"/>
      <c r="Q452" s="191"/>
      <c r="R452" s="191"/>
    </row>
    <row r="453" spans="1:18" x14ac:dyDescent="0.2">
      <c r="A453" s="191"/>
      <c r="B453" s="1103"/>
      <c r="C453" s="1066" t="s">
        <v>3412</v>
      </c>
      <c r="D453" s="1067"/>
      <c r="E453" s="1068"/>
      <c r="F453" s="428"/>
      <c r="G453" s="428"/>
      <c r="H453" s="428"/>
      <c r="I453" s="432">
        <f t="shared" si="46"/>
        <v>0</v>
      </c>
      <c r="J453" s="432" t="e">
        <f>I453/'Project Details'!$C$240</f>
        <v>#DIV/0!</v>
      </c>
      <c r="K453" s="432" t="e">
        <f t="shared" si="47"/>
        <v>#DIV/0!</v>
      </c>
      <c r="P453" s="191"/>
      <c r="Q453" s="191"/>
      <c r="R453" s="191"/>
    </row>
    <row r="454" spans="1:18" x14ac:dyDescent="0.2">
      <c r="A454" s="191"/>
      <c r="B454" s="1103"/>
      <c r="C454" s="1066" t="s">
        <v>3413</v>
      </c>
      <c r="D454" s="1067"/>
      <c r="E454" s="1068"/>
      <c r="F454" s="428"/>
      <c r="G454" s="428"/>
      <c r="H454" s="428"/>
      <c r="I454" s="432">
        <f t="shared" si="46"/>
        <v>0</v>
      </c>
      <c r="J454" s="432" t="e">
        <f>I454/'Project Details'!$C$240</f>
        <v>#DIV/0!</v>
      </c>
      <c r="K454" s="432" t="e">
        <f t="shared" si="47"/>
        <v>#DIV/0!</v>
      </c>
      <c r="P454" s="191"/>
      <c r="Q454" s="191"/>
      <c r="R454" s="191"/>
    </row>
    <row r="455" spans="1:18" s="191" customFormat="1" x14ac:dyDescent="0.2">
      <c r="B455" s="1103"/>
      <c r="C455" s="1066" t="s">
        <v>3414</v>
      </c>
      <c r="D455" s="1067"/>
      <c r="E455" s="1068"/>
      <c r="F455" s="428"/>
      <c r="G455" s="428"/>
      <c r="H455" s="428"/>
      <c r="I455" s="432">
        <f t="shared" si="46"/>
        <v>0</v>
      </c>
      <c r="J455" s="432" t="e">
        <f>I455/'Project Details'!$C$240</f>
        <v>#DIV/0!</v>
      </c>
      <c r="K455" s="432" t="e">
        <f t="shared" si="47"/>
        <v>#DIV/0!</v>
      </c>
    </row>
    <row r="456" spans="1:18" s="191" customFormat="1" x14ac:dyDescent="0.2">
      <c r="B456" s="1103"/>
      <c r="C456" s="1066" t="s">
        <v>3415</v>
      </c>
      <c r="D456" s="1067"/>
      <c r="E456" s="1068"/>
      <c r="F456" s="428"/>
      <c r="G456" s="428"/>
      <c r="H456" s="428"/>
      <c r="I456" s="432">
        <f t="shared" si="46"/>
        <v>0</v>
      </c>
      <c r="J456" s="432" t="e">
        <f>I456/'Project Details'!$C$240</f>
        <v>#DIV/0!</v>
      </c>
      <c r="K456" s="432" t="e">
        <f t="shared" si="47"/>
        <v>#DIV/0!</v>
      </c>
    </row>
    <row r="457" spans="1:18" s="191" customFormat="1" x14ac:dyDescent="0.2">
      <c r="B457" s="1103"/>
      <c r="C457" s="1066" t="s">
        <v>4418</v>
      </c>
      <c r="D457" s="1067"/>
      <c r="E457" s="1068"/>
      <c r="F457" s="428"/>
      <c r="G457" s="428"/>
      <c r="H457" s="428"/>
      <c r="I457" s="432">
        <f t="shared" si="46"/>
        <v>0</v>
      </c>
      <c r="J457" s="432" t="e">
        <f>I457/'Project Details'!$C$240</f>
        <v>#DIV/0!</v>
      </c>
      <c r="K457" s="432" t="e">
        <f t="shared" si="47"/>
        <v>#DIV/0!</v>
      </c>
    </row>
    <row r="458" spans="1:18" s="191" customFormat="1" x14ac:dyDescent="0.2">
      <c r="B458" s="1103"/>
      <c r="C458" s="1066" t="s">
        <v>3416</v>
      </c>
      <c r="D458" s="1067"/>
      <c r="E458" s="1068"/>
      <c r="F458" s="428"/>
      <c r="G458" s="428"/>
      <c r="H458" s="428"/>
      <c r="I458" s="432">
        <f t="shared" si="46"/>
        <v>0</v>
      </c>
      <c r="J458" s="432" t="e">
        <f>I458/'Project Details'!$C$240</f>
        <v>#DIV/0!</v>
      </c>
      <c r="K458" s="432" t="e">
        <f t="shared" si="47"/>
        <v>#DIV/0!</v>
      </c>
    </row>
    <row r="459" spans="1:18" s="191" customFormat="1" x14ac:dyDescent="0.2">
      <c r="B459" s="1103"/>
      <c r="C459" s="1066" t="s">
        <v>3417</v>
      </c>
      <c r="D459" s="1067"/>
      <c r="E459" s="1068"/>
      <c r="F459" s="428"/>
      <c r="G459" s="428"/>
      <c r="H459" s="428"/>
      <c r="I459" s="432">
        <f t="shared" si="46"/>
        <v>0</v>
      </c>
      <c r="J459" s="432" t="e">
        <f>I459/'Project Details'!$C$240</f>
        <v>#DIV/0!</v>
      </c>
      <c r="K459" s="432" t="e">
        <f t="shared" si="47"/>
        <v>#DIV/0!</v>
      </c>
    </row>
    <row r="460" spans="1:18" s="191" customFormat="1" x14ac:dyDescent="0.2">
      <c r="B460" s="1103"/>
      <c r="C460" s="1066" t="s">
        <v>3418</v>
      </c>
      <c r="D460" s="1067"/>
      <c r="E460" s="1068"/>
      <c r="F460" s="428"/>
      <c r="G460" s="428"/>
      <c r="H460" s="428"/>
      <c r="I460" s="432">
        <f t="shared" si="46"/>
        <v>0</v>
      </c>
      <c r="J460" s="432" t="e">
        <f>I460/'Project Details'!$C$240</f>
        <v>#DIV/0!</v>
      </c>
      <c r="K460" s="432" t="e">
        <f t="shared" si="47"/>
        <v>#DIV/0!</v>
      </c>
    </row>
    <row r="461" spans="1:18" s="191" customFormat="1" x14ac:dyDescent="0.2">
      <c r="B461" s="1103"/>
      <c r="C461" s="1066" t="s">
        <v>3419</v>
      </c>
      <c r="D461" s="1067"/>
      <c r="E461" s="1068"/>
      <c r="F461" s="428"/>
      <c r="G461" s="428"/>
      <c r="H461" s="428"/>
      <c r="I461" s="432">
        <f t="shared" si="46"/>
        <v>0</v>
      </c>
      <c r="J461" s="432" t="e">
        <f>I461/'Project Details'!$C$240</f>
        <v>#DIV/0!</v>
      </c>
      <c r="K461" s="432" t="e">
        <f t="shared" si="47"/>
        <v>#DIV/0!</v>
      </c>
    </row>
    <row r="462" spans="1:18" s="191" customFormat="1" x14ac:dyDescent="0.2">
      <c r="B462" s="1103"/>
      <c r="C462" s="1066" t="s">
        <v>3420</v>
      </c>
      <c r="D462" s="1067"/>
      <c r="E462" s="1068"/>
      <c r="F462" s="428"/>
      <c r="G462" s="428"/>
      <c r="H462" s="428"/>
      <c r="I462" s="432">
        <f t="shared" si="46"/>
        <v>0</v>
      </c>
      <c r="J462" s="432" t="e">
        <f>I462/'Project Details'!$C$240</f>
        <v>#DIV/0!</v>
      </c>
      <c r="K462" s="432" t="e">
        <f t="shared" si="47"/>
        <v>#DIV/0!</v>
      </c>
    </row>
    <row r="463" spans="1:18" s="191" customFormat="1" x14ac:dyDescent="0.2">
      <c r="B463" s="1103"/>
      <c r="C463" s="1066" t="s">
        <v>3421</v>
      </c>
      <c r="D463" s="1067"/>
      <c r="E463" s="1068"/>
      <c r="F463" s="428"/>
      <c r="G463" s="428"/>
      <c r="H463" s="428"/>
      <c r="I463" s="432">
        <f t="shared" si="46"/>
        <v>0</v>
      </c>
      <c r="J463" s="432" t="e">
        <f>I463/'Project Details'!$C$240</f>
        <v>#DIV/0!</v>
      </c>
      <c r="K463" s="432" t="e">
        <f t="shared" si="47"/>
        <v>#DIV/0!</v>
      </c>
    </row>
    <row r="464" spans="1:18" s="191" customFormat="1" x14ac:dyDescent="0.2">
      <c r="B464" s="1103"/>
      <c r="C464" s="1066" t="s">
        <v>3422</v>
      </c>
      <c r="D464" s="1067"/>
      <c r="E464" s="1068"/>
      <c r="F464" s="428"/>
      <c r="G464" s="428"/>
      <c r="H464" s="428"/>
      <c r="I464" s="432">
        <f t="shared" si="46"/>
        <v>0</v>
      </c>
      <c r="J464" s="432" t="e">
        <f>I464/'Project Details'!$C$240</f>
        <v>#DIV/0!</v>
      </c>
      <c r="K464" s="432" t="e">
        <f t="shared" si="47"/>
        <v>#DIV/0!</v>
      </c>
    </row>
    <row r="465" spans="1:18" s="191" customFormat="1" x14ac:dyDescent="0.2">
      <c r="B465" s="1103"/>
      <c r="C465" s="1066" t="s">
        <v>3423</v>
      </c>
      <c r="D465" s="1067"/>
      <c r="E465" s="1068"/>
      <c r="F465" s="428"/>
      <c r="G465" s="428"/>
      <c r="H465" s="428"/>
      <c r="I465" s="432">
        <f t="shared" si="46"/>
        <v>0</v>
      </c>
      <c r="J465" s="432" t="e">
        <f>I465/'Project Details'!$C$240</f>
        <v>#DIV/0!</v>
      </c>
      <c r="K465" s="432" t="e">
        <f t="shared" si="47"/>
        <v>#DIV/0!</v>
      </c>
    </row>
    <row r="466" spans="1:18" s="191" customFormat="1" x14ac:dyDescent="0.2">
      <c r="B466" s="1103"/>
      <c r="C466" s="1066" t="s">
        <v>3277</v>
      </c>
      <c r="D466" s="1067"/>
      <c r="E466" s="1068"/>
      <c r="F466" s="428"/>
      <c r="G466" s="428"/>
      <c r="H466" s="428"/>
      <c r="I466" s="432">
        <f t="shared" si="46"/>
        <v>0</v>
      </c>
      <c r="J466" s="432" t="e">
        <f>I466/'Project Details'!$C$240</f>
        <v>#DIV/0!</v>
      </c>
      <c r="K466" s="432" t="e">
        <f t="shared" si="47"/>
        <v>#DIV/0!</v>
      </c>
    </row>
    <row r="467" spans="1:18" s="191" customFormat="1" x14ac:dyDescent="0.2">
      <c r="B467" s="1103"/>
      <c r="C467" s="1066" t="s">
        <v>3424</v>
      </c>
      <c r="D467" s="1067"/>
      <c r="E467" s="1068"/>
      <c r="F467" s="428"/>
      <c r="G467" s="428"/>
      <c r="H467" s="428"/>
      <c r="I467" s="432">
        <f t="shared" si="46"/>
        <v>0</v>
      </c>
      <c r="J467" s="432" t="e">
        <f>I467/'Project Details'!$C$240</f>
        <v>#DIV/0!</v>
      </c>
      <c r="K467" s="432" t="e">
        <f t="shared" si="47"/>
        <v>#DIV/0!</v>
      </c>
    </row>
    <row r="468" spans="1:18" s="191" customFormat="1" x14ac:dyDescent="0.2">
      <c r="B468" s="1103"/>
      <c r="C468" s="1066" t="s">
        <v>3425</v>
      </c>
      <c r="D468" s="1067"/>
      <c r="E468" s="1068"/>
      <c r="F468" s="428"/>
      <c r="G468" s="428"/>
      <c r="H468" s="428"/>
      <c r="I468" s="432">
        <f t="shared" si="46"/>
        <v>0</v>
      </c>
      <c r="J468" s="432" t="e">
        <f>I468/'Project Details'!$C$240</f>
        <v>#DIV/0!</v>
      </c>
      <c r="K468" s="432" t="e">
        <f t="shared" si="47"/>
        <v>#DIV/0!</v>
      </c>
    </row>
    <row r="469" spans="1:18" s="191" customFormat="1" x14ac:dyDescent="0.2">
      <c r="B469" s="1103"/>
      <c r="C469" s="1066" t="s">
        <v>3426</v>
      </c>
      <c r="D469" s="1067"/>
      <c r="E469" s="1068"/>
      <c r="F469" s="428"/>
      <c r="G469" s="428"/>
      <c r="H469" s="428"/>
      <c r="I469" s="432">
        <f t="shared" si="46"/>
        <v>0</v>
      </c>
      <c r="J469" s="432" t="e">
        <f>I469/'Project Details'!$C$240</f>
        <v>#DIV/0!</v>
      </c>
      <c r="K469" s="432" t="e">
        <f t="shared" si="47"/>
        <v>#DIV/0!</v>
      </c>
    </row>
    <row r="470" spans="1:18" s="191" customFormat="1" x14ac:dyDescent="0.2">
      <c r="B470" s="1103"/>
      <c r="C470" s="1066" t="s">
        <v>3427</v>
      </c>
      <c r="D470" s="1067"/>
      <c r="E470" s="1068"/>
      <c r="F470" s="428"/>
      <c r="G470" s="428"/>
      <c r="H470" s="428"/>
      <c r="I470" s="432">
        <f t="shared" si="46"/>
        <v>0</v>
      </c>
      <c r="J470" s="432" t="e">
        <f>I470/'Project Details'!$C$240</f>
        <v>#DIV/0!</v>
      </c>
      <c r="K470" s="432" t="e">
        <f t="shared" si="47"/>
        <v>#DIV/0!</v>
      </c>
    </row>
    <row r="471" spans="1:18" x14ac:dyDescent="0.2">
      <c r="A471" s="191"/>
      <c r="B471" s="1103"/>
      <c r="C471" s="1066" t="s">
        <v>3428</v>
      </c>
      <c r="D471" s="1067"/>
      <c r="E471" s="1068"/>
      <c r="F471" s="428"/>
      <c r="G471" s="428"/>
      <c r="H471" s="428"/>
      <c r="I471" s="432">
        <f t="shared" si="46"/>
        <v>0</v>
      </c>
      <c r="J471" s="432" t="e">
        <f>I471/'Project Details'!$C$240</f>
        <v>#DIV/0!</v>
      </c>
      <c r="K471" s="432" t="e">
        <f t="shared" si="47"/>
        <v>#DIV/0!</v>
      </c>
      <c r="P471" s="191"/>
      <c r="Q471" s="191"/>
      <c r="R471" s="191"/>
    </row>
    <row r="472" spans="1:18" x14ac:dyDescent="0.2">
      <c r="A472" s="191"/>
      <c r="B472" s="1103"/>
      <c r="C472" s="1066" t="s">
        <v>3429</v>
      </c>
      <c r="D472" s="1067"/>
      <c r="E472" s="1068"/>
      <c r="F472" s="428"/>
      <c r="G472" s="428"/>
      <c r="H472" s="428"/>
      <c r="I472" s="432">
        <f t="shared" si="46"/>
        <v>0</v>
      </c>
      <c r="J472" s="432" t="e">
        <f>I472/'Project Details'!$C$240</f>
        <v>#DIV/0!</v>
      </c>
      <c r="K472" s="432" t="e">
        <f t="shared" si="47"/>
        <v>#DIV/0!</v>
      </c>
      <c r="P472" s="191"/>
      <c r="Q472" s="191"/>
      <c r="R472" s="191"/>
    </row>
    <row r="473" spans="1:18" x14ac:dyDescent="0.2">
      <c r="A473" s="191"/>
      <c r="B473" s="1103"/>
      <c r="C473" s="1066" t="s">
        <v>3430</v>
      </c>
      <c r="D473" s="1067"/>
      <c r="E473" s="1068"/>
      <c r="F473" s="428"/>
      <c r="G473" s="428"/>
      <c r="H473" s="428"/>
      <c r="I473" s="432">
        <f t="shared" si="46"/>
        <v>0</v>
      </c>
      <c r="J473" s="432" t="e">
        <f>I473/'Project Details'!$C$240</f>
        <v>#DIV/0!</v>
      </c>
      <c r="K473" s="432" t="e">
        <f t="shared" si="47"/>
        <v>#DIV/0!</v>
      </c>
      <c r="P473" s="191"/>
      <c r="Q473" s="191"/>
      <c r="R473" s="191"/>
    </row>
    <row r="474" spans="1:18" x14ac:dyDescent="0.2">
      <c r="A474" s="191"/>
      <c r="B474" s="1103"/>
      <c r="C474" s="1066" t="s">
        <v>3431</v>
      </c>
      <c r="D474" s="1067"/>
      <c r="E474" s="1068"/>
      <c r="F474" s="428"/>
      <c r="G474" s="428"/>
      <c r="H474" s="428"/>
      <c r="I474" s="432">
        <f t="shared" si="46"/>
        <v>0</v>
      </c>
      <c r="J474" s="432" t="e">
        <f>I474/'Project Details'!$C$240</f>
        <v>#DIV/0!</v>
      </c>
      <c r="K474" s="432" t="e">
        <f t="shared" si="47"/>
        <v>#DIV/0!</v>
      </c>
      <c r="P474" s="191"/>
      <c r="Q474" s="191"/>
      <c r="R474" s="191"/>
    </row>
    <row r="475" spans="1:18" x14ac:dyDescent="0.2">
      <c r="A475" s="191"/>
      <c r="B475" s="1103"/>
      <c r="C475" s="1066" t="s">
        <v>3432</v>
      </c>
      <c r="D475" s="1067"/>
      <c r="E475" s="1068"/>
      <c r="F475" s="428"/>
      <c r="G475" s="428"/>
      <c r="H475" s="428"/>
      <c r="I475" s="432">
        <f t="shared" si="46"/>
        <v>0</v>
      </c>
      <c r="J475" s="432" t="e">
        <f>I475/'Project Details'!$C$240</f>
        <v>#DIV/0!</v>
      </c>
      <c r="K475" s="432" t="e">
        <f t="shared" si="47"/>
        <v>#DIV/0!</v>
      </c>
      <c r="P475" s="191"/>
      <c r="Q475" s="191"/>
      <c r="R475" s="191"/>
    </row>
    <row r="476" spans="1:18" x14ac:dyDescent="0.2">
      <c r="A476" s="191"/>
      <c r="B476" s="1103"/>
      <c r="C476" s="1066" t="s">
        <v>3433</v>
      </c>
      <c r="D476" s="1067"/>
      <c r="E476" s="1068"/>
      <c r="F476" s="428"/>
      <c r="G476" s="428"/>
      <c r="H476" s="428"/>
      <c r="I476" s="432">
        <f t="shared" si="46"/>
        <v>0</v>
      </c>
      <c r="J476" s="432" t="e">
        <f>I476/'Project Details'!$C$240</f>
        <v>#DIV/0!</v>
      </c>
      <c r="K476" s="432" t="e">
        <f t="shared" si="47"/>
        <v>#DIV/0!</v>
      </c>
      <c r="P476" s="191"/>
      <c r="Q476" s="191"/>
      <c r="R476" s="191"/>
    </row>
    <row r="477" spans="1:18" x14ac:dyDescent="0.2">
      <c r="A477" s="191"/>
      <c r="B477" s="1103"/>
      <c r="C477" s="1066" t="s">
        <v>3434</v>
      </c>
      <c r="D477" s="1067"/>
      <c r="E477" s="1068"/>
      <c r="F477" s="428"/>
      <c r="G477" s="428"/>
      <c r="H477" s="428"/>
      <c r="I477" s="432">
        <f t="shared" si="46"/>
        <v>0</v>
      </c>
      <c r="J477" s="432" t="e">
        <f>I477/'Project Details'!$C$240</f>
        <v>#DIV/0!</v>
      </c>
      <c r="K477" s="432" t="e">
        <f t="shared" si="47"/>
        <v>#DIV/0!</v>
      </c>
      <c r="N477" s="191"/>
      <c r="P477" s="191"/>
      <c r="Q477" s="191"/>
      <c r="R477" s="191"/>
    </row>
    <row r="478" spans="1:18" x14ac:dyDescent="0.2">
      <c r="A478" s="191"/>
      <c r="B478" s="1103"/>
      <c r="C478" s="10" t="s">
        <v>3080</v>
      </c>
      <c r="D478" s="1123"/>
      <c r="E478" s="1124"/>
      <c r="F478" s="428"/>
      <c r="G478" s="428"/>
      <c r="H478" s="428"/>
      <c r="I478" s="432">
        <f t="shared" si="46"/>
        <v>0</v>
      </c>
      <c r="J478" s="432" t="e">
        <f>I478/'Project Details'!$C$240</f>
        <v>#DIV/0!</v>
      </c>
      <c r="K478" s="432" t="e">
        <f t="shared" si="47"/>
        <v>#DIV/0!</v>
      </c>
      <c r="M478" s="414"/>
      <c r="N478" s="414"/>
      <c r="O478" s="414"/>
      <c r="P478" s="191"/>
      <c r="Q478" s="191"/>
      <c r="R478" s="191"/>
    </row>
    <row r="479" spans="1:18" x14ac:dyDescent="0.2">
      <c r="A479" s="191"/>
      <c r="B479" s="1104"/>
      <c r="C479" s="10" t="s">
        <v>3080</v>
      </c>
      <c r="D479" s="1123"/>
      <c r="E479" s="1124"/>
      <c r="F479" s="428"/>
      <c r="G479" s="428"/>
      <c r="H479" s="428"/>
      <c r="I479" s="432">
        <f t="shared" si="46"/>
        <v>0</v>
      </c>
      <c r="J479" s="432" t="e">
        <f>I479/'Project Details'!$C$240</f>
        <v>#DIV/0!</v>
      </c>
      <c r="K479" s="432" t="e">
        <f t="shared" si="47"/>
        <v>#DIV/0!</v>
      </c>
      <c r="M479" s="414"/>
      <c r="N479" s="414"/>
      <c r="O479" s="414"/>
      <c r="P479" s="191"/>
      <c r="Q479" s="191"/>
      <c r="R479" s="191"/>
    </row>
    <row r="480" spans="1:18" ht="15" x14ac:dyDescent="0.25">
      <c r="A480" s="191"/>
      <c r="B480" s="21"/>
      <c r="C480" s="1162" t="s">
        <v>3446</v>
      </c>
      <c r="D480" s="1163"/>
      <c r="E480" s="1164"/>
      <c r="F480" s="452">
        <f>SUM(F448:F479)</f>
        <v>0</v>
      </c>
      <c r="G480" s="452">
        <f>SUM(G448:G479)</f>
        <v>0</v>
      </c>
      <c r="H480" s="452">
        <f>SUM(H448:H479)</f>
        <v>0</v>
      </c>
      <c r="I480" s="452">
        <f>SUM(I448:I479)</f>
        <v>0</v>
      </c>
      <c r="J480" s="456"/>
      <c r="K480" s="457"/>
      <c r="P480" s="191"/>
      <c r="Q480" s="191"/>
      <c r="R480" s="191"/>
    </row>
    <row r="481" spans="1:18" x14ac:dyDescent="0.2">
      <c r="A481" s="191"/>
      <c r="F481" s="458"/>
      <c r="G481" s="458"/>
      <c r="H481" s="458"/>
      <c r="I481" s="458"/>
      <c r="J481" s="454"/>
      <c r="K481" s="454"/>
      <c r="P481" s="191"/>
      <c r="Q481" s="191"/>
      <c r="R481" s="191"/>
    </row>
    <row r="482" spans="1:18" x14ac:dyDescent="0.2">
      <c r="A482" s="191"/>
      <c r="B482" s="1102" t="s">
        <v>3364</v>
      </c>
      <c r="C482" s="1066" t="s">
        <v>3435</v>
      </c>
      <c r="D482" s="1067"/>
      <c r="E482" s="1068"/>
      <c r="F482" s="428"/>
      <c r="G482" s="428"/>
      <c r="H482" s="428"/>
      <c r="I482" s="432">
        <f>SUM(F482:H482)</f>
        <v>0</v>
      </c>
      <c r="J482" s="432" t="e">
        <f>I482/'Project Details'!$C$240</f>
        <v>#DIV/0!</v>
      </c>
      <c r="K482" s="432" t="e">
        <f>I482/$C$45</f>
        <v>#DIV/0!</v>
      </c>
      <c r="P482" s="191"/>
      <c r="Q482" s="191"/>
      <c r="R482" s="191"/>
    </row>
    <row r="483" spans="1:18" x14ac:dyDescent="0.2">
      <c r="A483" s="191"/>
      <c r="B483" s="1103"/>
      <c r="C483" s="1066" t="s">
        <v>3436</v>
      </c>
      <c r="D483" s="1067"/>
      <c r="E483" s="1068"/>
      <c r="F483" s="428"/>
      <c r="G483" s="428"/>
      <c r="H483" s="428"/>
      <c r="I483" s="432">
        <f>SUM(F483:H483)</f>
        <v>0</v>
      </c>
      <c r="J483" s="432" t="e">
        <f>I483/'Project Details'!$C$240</f>
        <v>#DIV/0!</v>
      </c>
      <c r="K483" s="432" t="e">
        <f>I483/$C$45</f>
        <v>#DIV/0!</v>
      </c>
      <c r="P483" s="191"/>
      <c r="Q483" s="191"/>
      <c r="R483" s="191"/>
    </row>
    <row r="484" spans="1:18" x14ac:dyDescent="0.2">
      <c r="A484" s="191"/>
      <c r="B484" s="1103"/>
      <c r="C484" s="1066" t="s">
        <v>3437</v>
      </c>
      <c r="D484" s="1067"/>
      <c r="E484" s="1068"/>
      <c r="F484" s="428"/>
      <c r="G484" s="428"/>
      <c r="H484" s="428"/>
      <c r="I484" s="432">
        <f>SUM(F484:H484)</f>
        <v>0</v>
      </c>
      <c r="J484" s="432" t="e">
        <f>I484/'Project Details'!$C$240</f>
        <v>#DIV/0!</v>
      </c>
      <c r="K484" s="432" t="e">
        <f>I484/$C$45</f>
        <v>#DIV/0!</v>
      </c>
      <c r="P484" s="191"/>
      <c r="Q484" s="191"/>
      <c r="R484" s="191"/>
    </row>
    <row r="485" spans="1:18" x14ac:dyDescent="0.2">
      <c r="A485" s="191"/>
      <c r="B485" s="1103"/>
      <c r="C485" s="10" t="s">
        <v>3080</v>
      </c>
      <c r="D485" s="1123"/>
      <c r="E485" s="1124"/>
      <c r="F485" s="428"/>
      <c r="G485" s="428"/>
      <c r="H485" s="428"/>
      <c r="I485" s="432">
        <f>SUM(F485:H485)</f>
        <v>0</v>
      </c>
      <c r="J485" s="432" t="e">
        <f>I485/'Project Details'!$C$240</f>
        <v>#DIV/0!</v>
      </c>
      <c r="K485" s="432" t="e">
        <f>I485/$C$45</f>
        <v>#DIV/0!</v>
      </c>
      <c r="M485" s="414"/>
      <c r="N485" s="414"/>
      <c r="O485" s="414"/>
      <c r="P485" s="191"/>
      <c r="Q485" s="191"/>
      <c r="R485" s="191"/>
    </row>
    <row r="486" spans="1:18" x14ac:dyDescent="0.2">
      <c r="A486" s="191"/>
      <c r="B486" s="1104"/>
      <c r="C486" s="10" t="s">
        <v>3080</v>
      </c>
      <c r="D486" s="1123"/>
      <c r="E486" s="1124"/>
      <c r="F486" s="428"/>
      <c r="G486" s="428"/>
      <c r="H486" s="428"/>
      <c r="I486" s="432">
        <f>SUM(F486:H486)</f>
        <v>0</v>
      </c>
      <c r="J486" s="432" t="e">
        <f>I486/'Project Details'!$C$240</f>
        <v>#DIV/0!</v>
      </c>
      <c r="K486" s="432" t="e">
        <f>I486/$C$45</f>
        <v>#DIV/0!</v>
      </c>
      <c r="M486" s="414"/>
      <c r="N486" s="414"/>
      <c r="O486" s="414"/>
      <c r="P486" s="191"/>
      <c r="Q486" s="191"/>
      <c r="R486" s="191"/>
    </row>
    <row r="487" spans="1:18" ht="15" x14ac:dyDescent="0.25">
      <c r="A487" s="191"/>
      <c r="B487" s="21"/>
      <c r="C487" s="1162" t="s">
        <v>3447</v>
      </c>
      <c r="D487" s="1163"/>
      <c r="E487" s="1164"/>
      <c r="F487" s="452">
        <f>SUM(F482:F486)</f>
        <v>0</v>
      </c>
      <c r="G487" s="452">
        <f>SUM(G482:G486)</f>
        <v>0</v>
      </c>
      <c r="H487" s="452">
        <f>SUM(H482:H486)</f>
        <v>0</v>
      </c>
      <c r="I487" s="452">
        <f>SUM(I482:I486)</f>
        <v>0</v>
      </c>
      <c r="J487" s="456" t="str">
        <f>IF(I487&lt;&gt;S367,"ERROR FFE in Construction Cost Detail Does Not Match FFE in Budget","")</f>
        <v/>
      </c>
      <c r="K487" s="457"/>
      <c r="P487" s="191"/>
      <c r="Q487" s="191"/>
      <c r="R487" s="191"/>
    </row>
    <row r="488" spans="1:18" x14ac:dyDescent="0.2">
      <c r="A488" s="191"/>
      <c r="F488" s="458"/>
      <c r="G488" s="458"/>
      <c r="H488" s="458"/>
      <c r="I488" s="458"/>
      <c r="J488" s="454"/>
      <c r="K488" s="454"/>
      <c r="P488" s="191"/>
      <c r="Q488" s="191"/>
      <c r="R488" s="191"/>
    </row>
    <row r="489" spans="1:18" x14ac:dyDescent="0.2">
      <c r="A489" s="191"/>
      <c r="B489" s="1102" t="s">
        <v>3442</v>
      </c>
      <c r="C489" s="1066" t="s">
        <v>3438</v>
      </c>
      <c r="D489" s="1067"/>
      <c r="E489" s="1068"/>
      <c r="F489" s="428"/>
      <c r="G489" s="428"/>
      <c r="H489" s="428"/>
      <c r="I489" s="432">
        <f t="shared" ref="I489:I494" si="48">SUM(F489:H489)</f>
        <v>0</v>
      </c>
      <c r="J489" s="432" t="e">
        <f>I489/'Project Details'!$C$240</f>
        <v>#DIV/0!</v>
      </c>
      <c r="K489" s="432" t="e">
        <f t="shared" ref="K489:K495" si="49">I489/$C$45</f>
        <v>#DIV/0!</v>
      </c>
      <c r="P489" s="191"/>
      <c r="Q489" s="191"/>
      <c r="R489" s="191"/>
    </row>
    <row r="490" spans="1:18" x14ac:dyDescent="0.2">
      <c r="A490" s="191"/>
      <c r="B490" s="1103"/>
      <c r="C490" s="1066" t="s">
        <v>3439</v>
      </c>
      <c r="D490" s="1067"/>
      <c r="E490" s="1068"/>
      <c r="F490" s="428"/>
      <c r="G490" s="428"/>
      <c r="H490" s="428"/>
      <c r="I490" s="432">
        <f t="shared" si="48"/>
        <v>0</v>
      </c>
      <c r="J490" s="432" t="e">
        <f>I490/'Project Details'!$C$240</f>
        <v>#DIV/0!</v>
      </c>
      <c r="K490" s="432" t="e">
        <f t="shared" si="49"/>
        <v>#DIV/0!</v>
      </c>
      <c r="P490" s="191"/>
      <c r="Q490" s="191"/>
      <c r="R490" s="191"/>
    </row>
    <row r="491" spans="1:18" x14ac:dyDescent="0.2">
      <c r="A491" s="191"/>
      <c r="B491" s="1103"/>
      <c r="C491" s="1066" t="s">
        <v>3440</v>
      </c>
      <c r="D491" s="1067"/>
      <c r="E491" s="1068"/>
      <c r="F491" s="428"/>
      <c r="G491" s="428"/>
      <c r="H491" s="428"/>
      <c r="I491" s="432">
        <f t="shared" si="48"/>
        <v>0</v>
      </c>
      <c r="J491" s="432" t="e">
        <f>I491/'Project Details'!$C$240</f>
        <v>#DIV/0!</v>
      </c>
      <c r="K491" s="432" t="e">
        <f t="shared" si="49"/>
        <v>#DIV/0!</v>
      </c>
      <c r="P491" s="191"/>
      <c r="Q491" s="191"/>
      <c r="R491" s="191"/>
    </row>
    <row r="492" spans="1:18" x14ac:dyDescent="0.2">
      <c r="A492" s="191"/>
      <c r="B492" s="1103"/>
      <c r="C492" s="1066" t="s">
        <v>3441</v>
      </c>
      <c r="D492" s="1067"/>
      <c r="E492" s="1068"/>
      <c r="F492" s="428"/>
      <c r="G492" s="428"/>
      <c r="H492" s="428"/>
      <c r="I492" s="432">
        <f t="shared" si="48"/>
        <v>0</v>
      </c>
      <c r="J492" s="432" t="e">
        <f>I492/'Project Details'!$C$240</f>
        <v>#DIV/0!</v>
      </c>
      <c r="K492" s="432" t="e">
        <f t="shared" si="49"/>
        <v>#DIV/0!</v>
      </c>
      <c r="P492" s="191"/>
      <c r="Q492" s="191"/>
      <c r="R492" s="191"/>
    </row>
    <row r="493" spans="1:18" x14ac:dyDescent="0.2">
      <c r="A493" s="191"/>
      <c r="B493" s="1103"/>
      <c r="C493" s="1066" t="s">
        <v>3358</v>
      </c>
      <c r="D493" s="1067"/>
      <c r="E493" s="1068"/>
      <c r="F493" s="428"/>
      <c r="G493" s="428"/>
      <c r="H493" s="428"/>
      <c r="I493" s="432">
        <f t="shared" si="48"/>
        <v>0</v>
      </c>
      <c r="J493" s="432" t="e">
        <f>I493/'Project Details'!$C$240</f>
        <v>#DIV/0!</v>
      </c>
      <c r="K493" s="432" t="e">
        <f t="shared" si="49"/>
        <v>#DIV/0!</v>
      </c>
      <c r="P493" s="191"/>
      <c r="Q493" s="191"/>
      <c r="R493" s="191"/>
    </row>
    <row r="494" spans="1:18" x14ac:dyDescent="0.2">
      <c r="A494" s="191"/>
      <c r="B494" s="1103"/>
      <c r="C494" s="10" t="s">
        <v>3080</v>
      </c>
      <c r="D494" s="1123"/>
      <c r="E494" s="1124"/>
      <c r="F494" s="428"/>
      <c r="G494" s="428"/>
      <c r="H494" s="428"/>
      <c r="I494" s="432">
        <f t="shared" si="48"/>
        <v>0</v>
      </c>
      <c r="J494" s="432" t="e">
        <f>I494/'Project Details'!$C$240</f>
        <v>#DIV/0!</v>
      </c>
      <c r="K494" s="432" t="e">
        <f t="shared" si="49"/>
        <v>#DIV/0!</v>
      </c>
      <c r="M494" s="414"/>
      <c r="N494" s="414"/>
      <c r="O494" s="414"/>
      <c r="P494" s="191"/>
      <c r="Q494" s="191"/>
      <c r="R494" s="191"/>
    </row>
    <row r="495" spans="1:18" x14ac:dyDescent="0.2">
      <c r="A495" s="191"/>
      <c r="B495" s="1104"/>
      <c r="C495" s="10" t="s">
        <v>3080</v>
      </c>
      <c r="D495" s="1123"/>
      <c r="E495" s="1124"/>
      <c r="F495" s="428"/>
      <c r="G495" s="428"/>
      <c r="H495" s="428"/>
      <c r="I495" s="432">
        <f t="shared" ref="I495:I502" si="50">SUM(F495:H495)</f>
        <v>0</v>
      </c>
      <c r="J495" s="432" t="e">
        <f>I495/'Project Details'!$C$240</f>
        <v>#DIV/0!</v>
      </c>
      <c r="K495" s="432" t="e">
        <f t="shared" si="49"/>
        <v>#DIV/0!</v>
      </c>
      <c r="M495" s="414"/>
      <c r="N495" s="414"/>
      <c r="O495" s="414"/>
      <c r="P495" s="191"/>
      <c r="Q495" s="191"/>
      <c r="R495" s="191"/>
    </row>
    <row r="496" spans="1:18" ht="15" x14ac:dyDescent="0.25">
      <c r="A496" s="191"/>
      <c r="B496" s="21"/>
      <c r="C496" s="1162" t="s">
        <v>3448</v>
      </c>
      <c r="D496" s="1163"/>
      <c r="E496" s="1164"/>
      <c r="F496" s="452">
        <f>SUM(F489:F495)</f>
        <v>0</v>
      </c>
      <c r="G496" s="452">
        <f>SUM(G489:G495)</f>
        <v>0</v>
      </c>
      <c r="H496" s="452">
        <f>SUM(H489:H495)</f>
        <v>0</v>
      </c>
      <c r="I496" s="452">
        <f>SUM(I489:I495)</f>
        <v>0</v>
      </c>
      <c r="J496" s="457"/>
      <c r="K496" s="457"/>
      <c r="P496" s="191"/>
      <c r="Q496" s="191"/>
      <c r="R496" s="191"/>
    </row>
    <row r="497" spans="1:18" x14ac:dyDescent="0.2">
      <c r="A497" s="191"/>
      <c r="F497" s="458"/>
      <c r="G497" s="458"/>
      <c r="H497" s="458"/>
      <c r="I497" s="458"/>
      <c r="J497" s="454"/>
      <c r="K497" s="454"/>
      <c r="P497" s="191"/>
      <c r="Q497" s="191"/>
      <c r="R497" s="191"/>
    </row>
    <row r="498" spans="1:18" x14ac:dyDescent="0.2">
      <c r="A498" s="191"/>
      <c r="B498" s="1102" t="s">
        <v>4392</v>
      </c>
      <c r="C498" s="1066" t="s">
        <v>3443</v>
      </c>
      <c r="D498" s="1067"/>
      <c r="E498" s="1068"/>
      <c r="F498" s="428"/>
      <c r="G498" s="428"/>
      <c r="H498" s="428"/>
      <c r="I498" s="432">
        <f t="shared" si="50"/>
        <v>0</v>
      </c>
      <c r="J498" s="432" t="e">
        <f>I498/'Project Details'!$C$240</f>
        <v>#DIV/0!</v>
      </c>
      <c r="K498" s="432" t="e">
        <f>I498/$C$45</f>
        <v>#DIV/0!</v>
      </c>
      <c r="P498" s="191"/>
      <c r="Q498" s="191"/>
      <c r="R498" s="191"/>
    </row>
    <row r="499" spans="1:18" x14ac:dyDescent="0.2">
      <c r="A499" s="191"/>
      <c r="B499" s="1161"/>
      <c r="C499" s="1066" t="s">
        <v>4081</v>
      </c>
      <c r="D499" s="1067"/>
      <c r="E499" s="1068"/>
      <c r="F499" s="428"/>
      <c r="G499" s="428"/>
      <c r="H499" s="428"/>
      <c r="I499" s="432">
        <f t="shared" si="50"/>
        <v>0</v>
      </c>
      <c r="J499" s="432" t="e">
        <f>I499/'Project Details'!$C$240</f>
        <v>#DIV/0!</v>
      </c>
      <c r="K499" s="432" t="e">
        <f>I499/$C$45</f>
        <v>#DIV/0!</v>
      </c>
      <c r="P499" s="191"/>
      <c r="Q499" s="191"/>
      <c r="R499" s="191"/>
    </row>
    <row r="500" spans="1:18" x14ac:dyDescent="0.2">
      <c r="A500" s="191"/>
      <c r="B500" s="1161"/>
      <c r="C500" s="1066" t="s">
        <v>4082</v>
      </c>
      <c r="D500" s="1067"/>
      <c r="E500" s="1068"/>
      <c r="F500" s="428"/>
      <c r="G500" s="428"/>
      <c r="H500" s="428"/>
      <c r="I500" s="432">
        <f>SUM(F500:H500)</f>
        <v>0</v>
      </c>
      <c r="J500" s="432" t="e">
        <f>I500/'Project Details'!$C$240</f>
        <v>#DIV/0!</v>
      </c>
      <c r="K500" s="432" t="e">
        <f>I500/$C$45</f>
        <v>#DIV/0!</v>
      </c>
      <c r="P500" s="191"/>
      <c r="Q500" s="191"/>
      <c r="R500" s="191"/>
    </row>
    <row r="501" spans="1:18" x14ac:dyDescent="0.2">
      <c r="A501" s="191"/>
      <c r="B501" s="1103"/>
      <c r="C501" s="10" t="s">
        <v>3080</v>
      </c>
      <c r="D501" s="1123"/>
      <c r="E501" s="1124"/>
      <c r="F501" s="428"/>
      <c r="G501" s="428"/>
      <c r="H501" s="428"/>
      <c r="I501" s="432">
        <f t="shared" si="50"/>
        <v>0</v>
      </c>
      <c r="J501" s="432" t="e">
        <f>I501/'Project Details'!$C$240</f>
        <v>#DIV/0!</v>
      </c>
      <c r="K501" s="432" t="e">
        <f>I501/$C$45</f>
        <v>#DIV/0!</v>
      </c>
      <c r="M501" s="414"/>
      <c r="N501" s="414"/>
      <c r="O501" s="414"/>
      <c r="P501" s="191"/>
      <c r="Q501" s="191"/>
      <c r="R501" s="191"/>
    </row>
    <row r="502" spans="1:18" x14ac:dyDescent="0.2">
      <c r="A502" s="191"/>
      <c r="B502" s="1104"/>
      <c r="C502" s="10" t="s">
        <v>3080</v>
      </c>
      <c r="D502" s="1123"/>
      <c r="E502" s="1124"/>
      <c r="F502" s="428"/>
      <c r="G502" s="428"/>
      <c r="H502" s="428"/>
      <c r="I502" s="432">
        <f t="shared" si="50"/>
        <v>0</v>
      </c>
      <c r="J502" s="432" t="e">
        <f>I502/'Project Details'!$C$240</f>
        <v>#DIV/0!</v>
      </c>
      <c r="K502" s="432" t="e">
        <f>I502/$C$45</f>
        <v>#DIV/0!</v>
      </c>
      <c r="M502" s="414"/>
      <c r="N502" s="414"/>
      <c r="O502" s="414"/>
      <c r="P502" s="191"/>
      <c r="Q502" s="191"/>
      <c r="R502" s="191"/>
    </row>
    <row r="503" spans="1:18" ht="15" x14ac:dyDescent="0.25">
      <c r="A503" s="191"/>
      <c r="B503" s="21"/>
      <c r="C503" s="1162" t="s">
        <v>4393</v>
      </c>
      <c r="D503" s="1163"/>
      <c r="E503" s="1164"/>
      <c r="F503" s="452">
        <f>SUM(F498:F502)</f>
        <v>0</v>
      </c>
      <c r="G503" s="452">
        <f>SUM(G498:G502)</f>
        <v>0</v>
      </c>
      <c r="H503" s="452">
        <f>SUM(H498:H502)</f>
        <v>0</v>
      </c>
      <c r="I503" s="452">
        <f>SUM(I498:I502)</f>
        <v>0</v>
      </c>
      <c r="J503" s="457"/>
      <c r="K503" s="457"/>
      <c r="M503" s="191"/>
      <c r="N503" s="191"/>
      <c r="O503" s="191"/>
      <c r="P503" s="191"/>
      <c r="Q503" s="191"/>
      <c r="R503" s="191"/>
    </row>
    <row r="504" spans="1:18" ht="15" x14ac:dyDescent="0.25">
      <c r="A504" s="191"/>
      <c r="C504" s="1165" t="s">
        <v>3105</v>
      </c>
      <c r="D504" s="1166"/>
      <c r="E504" s="1167"/>
      <c r="F504" s="435">
        <f>F503+F496+F487+F480+F446+F436</f>
        <v>0</v>
      </c>
      <c r="G504" s="435">
        <f>G503+G496+G487+G480+G446+G436</f>
        <v>0</v>
      </c>
      <c r="H504" s="435">
        <f>H503+H496+H487+H480+H446+H436</f>
        <v>0</v>
      </c>
      <c r="I504" s="435">
        <f>I503+I496+I487+I480+I446+I436</f>
        <v>0</v>
      </c>
      <c r="J504" s="459"/>
      <c r="K504" s="454"/>
      <c r="M504" s="191"/>
      <c r="N504" s="191"/>
      <c r="O504" s="191"/>
      <c r="P504" s="191"/>
      <c r="Q504" s="191"/>
      <c r="R504" s="191"/>
    </row>
    <row r="507" spans="1:18" ht="18" x14ac:dyDescent="0.25">
      <c r="A507" s="191"/>
      <c r="B507" s="6" t="s">
        <v>3526</v>
      </c>
      <c r="M507" s="191"/>
      <c r="N507" s="191"/>
      <c r="O507" s="191"/>
      <c r="P507" s="191"/>
      <c r="Q507" s="191"/>
      <c r="R507" s="191"/>
    </row>
    <row r="508" spans="1:18" ht="30" customHeight="1" x14ac:dyDescent="0.25">
      <c r="A508" s="191"/>
      <c r="B508" s="1114" t="s">
        <v>3449</v>
      </c>
      <c r="C508" s="1115"/>
      <c r="D508" s="1116"/>
      <c r="E508" s="1117" t="s">
        <v>3450</v>
      </c>
      <c r="F508" s="1118"/>
      <c r="G508" s="1118"/>
      <c r="H508" s="1118"/>
      <c r="I508" s="1118"/>
      <c r="J508" s="1118"/>
      <c r="K508" s="1118"/>
      <c r="L508" s="1119"/>
      <c r="M508" s="191"/>
      <c r="N508" s="191"/>
      <c r="O508" s="191"/>
      <c r="P508" s="191"/>
      <c r="Q508" s="191"/>
      <c r="R508" s="191"/>
    </row>
    <row r="509" spans="1:18" ht="30" customHeight="1" x14ac:dyDescent="0.25">
      <c r="A509" s="191"/>
      <c r="B509" s="1111" t="s">
        <v>3451</v>
      </c>
      <c r="C509" s="1112"/>
      <c r="D509" s="1113"/>
      <c r="E509" s="1120" t="s">
        <v>3452</v>
      </c>
      <c r="F509" s="1121"/>
      <c r="G509" s="1121"/>
      <c r="H509" s="1121"/>
      <c r="I509" s="1121"/>
      <c r="J509" s="1121"/>
      <c r="K509" s="1121"/>
      <c r="L509" s="1122"/>
      <c r="M509" s="191"/>
      <c r="N509" s="191"/>
      <c r="O509" s="191"/>
      <c r="P509" s="191"/>
      <c r="Q509" s="191"/>
      <c r="R509" s="191"/>
    </row>
    <row r="510" spans="1:18" ht="45" customHeight="1" x14ac:dyDescent="0.25">
      <c r="A510" s="191"/>
      <c r="B510" s="1114" t="s">
        <v>3453</v>
      </c>
      <c r="C510" s="1115"/>
      <c r="D510" s="1116"/>
      <c r="E510" s="1117" t="s">
        <v>4794</v>
      </c>
      <c r="F510" s="1118"/>
      <c r="G510" s="1118"/>
      <c r="H510" s="1118"/>
      <c r="I510" s="1118"/>
      <c r="J510" s="1118"/>
      <c r="K510" s="1118"/>
      <c r="L510" s="1119"/>
      <c r="M510" s="191"/>
      <c r="N510" s="191"/>
      <c r="O510" s="191"/>
      <c r="P510" s="191"/>
      <c r="Q510" s="191"/>
      <c r="R510" s="191"/>
    </row>
    <row r="511" spans="1:18" ht="45" customHeight="1" x14ac:dyDescent="0.25">
      <c r="A511" s="191"/>
      <c r="B511" s="1111" t="s">
        <v>3454</v>
      </c>
      <c r="C511" s="1112"/>
      <c r="D511" s="1113"/>
      <c r="E511" s="1120" t="s">
        <v>4795</v>
      </c>
      <c r="F511" s="1121"/>
      <c r="G511" s="1121"/>
      <c r="H511" s="1121"/>
      <c r="I511" s="1121"/>
      <c r="J511" s="1121"/>
      <c r="K511" s="1121"/>
      <c r="L511" s="1122"/>
      <c r="M511" s="191"/>
      <c r="N511" s="191"/>
      <c r="O511" s="191"/>
      <c r="P511" s="191"/>
      <c r="Q511" s="191"/>
      <c r="R511" s="191"/>
    </row>
    <row r="512" spans="1:18" ht="30" customHeight="1" x14ac:dyDescent="0.25">
      <c r="A512" s="191"/>
      <c r="B512" s="1114" t="s">
        <v>3455</v>
      </c>
      <c r="C512" s="1115"/>
      <c r="D512" s="1116"/>
      <c r="E512" s="1117" t="s">
        <v>4796</v>
      </c>
      <c r="F512" s="1118"/>
      <c r="G512" s="1118"/>
      <c r="H512" s="1118"/>
      <c r="I512" s="1118"/>
      <c r="J512" s="1118"/>
      <c r="K512" s="1118"/>
      <c r="L512" s="1119"/>
      <c r="M512" s="191"/>
      <c r="N512" s="191"/>
      <c r="O512" s="191"/>
      <c r="P512" s="191"/>
      <c r="Q512" s="191"/>
      <c r="R512" s="191"/>
    </row>
    <row r="513" spans="1:18" ht="30" customHeight="1" x14ac:dyDescent="0.25">
      <c r="A513" s="191"/>
      <c r="B513" s="1111" t="s">
        <v>3456</v>
      </c>
      <c r="C513" s="1112"/>
      <c r="D513" s="1113"/>
      <c r="E513" s="1120" t="s">
        <v>4797</v>
      </c>
      <c r="F513" s="1121"/>
      <c r="G513" s="1121"/>
      <c r="H513" s="1121"/>
      <c r="I513" s="1121"/>
      <c r="J513" s="1121"/>
      <c r="K513" s="1121"/>
      <c r="L513" s="1122"/>
      <c r="M513" s="191"/>
      <c r="N513" s="191"/>
      <c r="O513" s="191"/>
      <c r="P513" s="191"/>
      <c r="Q513" s="191"/>
      <c r="R513" s="191"/>
    </row>
    <row r="514" spans="1:18" ht="30" customHeight="1" x14ac:dyDescent="0.25">
      <c r="A514" s="191"/>
      <c r="B514" s="1114" t="s">
        <v>3457</v>
      </c>
      <c r="C514" s="1115"/>
      <c r="D514" s="1116"/>
      <c r="E514" s="1117" t="s">
        <v>3458</v>
      </c>
      <c r="F514" s="1118"/>
      <c r="G514" s="1118"/>
      <c r="H514" s="1118"/>
      <c r="I514" s="1118"/>
      <c r="J514" s="1118"/>
      <c r="K514" s="1118"/>
      <c r="L514" s="1119"/>
      <c r="M514" s="191"/>
      <c r="N514" s="191"/>
      <c r="O514" s="191"/>
      <c r="P514" s="191"/>
      <c r="Q514" s="191"/>
      <c r="R514" s="191"/>
    </row>
    <row r="515" spans="1:18" ht="30" customHeight="1" x14ac:dyDescent="0.25">
      <c r="A515" s="191"/>
      <c r="B515" s="1111" t="s">
        <v>3459</v>
      </c>
      <c r="C515" s="1112"/>
      <c r="D515" s="1113"/>
      <c r="E515" s="1120" t="s">
        <v>3460</v>
      </c>
      <c r="F515" s="1121"/>
      <c r="G515" s="1121"/>
      <c r="H515" s="1121"/>
      <c r="I515" s="1121"/>
      <c r="J515" s="1121"/>
      <c r="K515" s="1121"/>
      <c r="L515" s="1122"/>
      <c r="M515" s="191"/>
      <c r="N515" s="191"/>
      <c r="O515" s="191"/>
      <c r="P515" s="191"/>
      <c r="Q515" s="191"/>
      <c r="R515" s="191"/>
    </row>
    <row r="516" spans="1:18" ht="30" customHeight="1" x14ac:dyDescent="0.25">
      <c r="A516" s="191"/>
      <c r="B516" s="1114" t="s">
        <v>3461</v>
      </c>
      <c r="C516" s="1115"/>
      <c r="D516" s="1116"/>
      <c r="E516" s="1117" t="s">
        <v>3462</v>
      </c>
      <c r="F516" s="1118"/>
      <c r="G516" s="1118"/>
      <c r="H516" s="1118"/>
      <c r="I516" s="1118"/>
      <c r="J516" s="1118"/>
      <c r="K516" s="1118"/>
      <c r="L516" s="1119"/>
      <c r="M516" s="191"/>
      <c r="N516" s="191"/>
      <c r="O516" s="191"/>
      <c r="P516" s="191"/>
      <c r="Q516" s="191"/>
      <c r="R516" s="191"/>
    </row>
    <row r="517" spans="1:18" ht="30" customHeight="1" x14ac:dyDescent="0.25">
      <c r="A517" s="191"/>
      <c r="B517" s="1111" t="s">
        <v>3463</v>
      </c>
      <c r="C517" s="1112"/>
      <c r="D517" s="1113"/>
      <c r="E517" s="1120" t="s">
        <v>3464</v>
      </c>
      <c r="F517" s="1121"/>
      <c r="G517" s="1121"/>
      <c r="H517" s="1121"/>
      <c r="I517" s="1121"/>
      <c r="J517" s="1121"/>
      <c r="K517" s="1121"/>
      <c r="L517" s="1122"/>
      <c r="M517" s="191"/>
      <c r="N517" s="191"/>
      <c r="O517" s="191"/>
      <c r="P517" s="191"/>
      <c r="Q517" s="191"/>
      <c r="R517" s="191"/>
    </row>
    <row r="518" spans="1:18" ht="30" customHeight="1" x14ac:dyDescent="0.25">
      <c r="A518" s="191"/>
      <c r="B518" s="1114" t="s">
        <v>3465</v>
      </c>
      <c r="C518" s="1115"/>
      <c r="D518" s="1116"/>
      <c r="E518" s="1117" t="s">
        <v>3466</v>
      </c>
      <c r="F518" s="1118"/>
      <c r="G518" s="1118"/>
      <c r="H518" s="1118"/>
      <c r="I518" s="1118"/>
      <c r="J518" s="1118"/>
      <c r="K518" s="1118"/>
      <c r="L518" s="1119"/>
      <c r="M518" s="191"/>
      <c r="N518" s="191"/>
      <c r="O518" s="191"/>
      <c r="P518" s="191"/>
      <c r="Q518" s="191"/>
      <c r="R518" s="191"/>
    </row>
    <row r="519" spans="1:18" ht="30" customHeight="1" x14ac:dyDescent="0.25">
      <c r="A519" s="191"/>
      <c r="B519" s="1111" t="s">
        <v>3467</v>
      </c>
      <c r="C519" s="1112"/>
      <c r="D519" s="1113"/>
      <c r="E519" s="1120" t="s">
        <v>3468</v>
      </c>
      <c r="F519" s="1121"/>
      <c r="G519" s="1121"/>
      <c r="H519" s="1121"/>
      <c r="I519" s="1121"/>
      <c r="J519" s="1121"/>
      <c r="K519" s="1121"/>
      <c r="L519" s="1122"/>
      <c r="M519" s="191"/>
      <c r="N519" s="191"/>
      <c r="O519" s="191"/>
      <c r="P519" s="191"/>
      <c r="Q519" s="191"/>
      <c r="R519" s="191"/>
    </row>
    <row r="520" spans="1:18" ht="30" customHeight="1" x14ac:dyDescent="0.25">
      <c r="A520" s="191"/>
      <c r="B520" s="1114" t="s">
        <v>3469</v>
      </c>
      <c r="C520" s="1115"/>
      <c r="D520" s="1116"/>
      <c r="E520" s="1117" t="s">
        <v>3470</v>
      </c>
      <c r="F520" s="1118"/>
      <c r="G520" s="1118"/>
      <c r="H520" s="1118"/>
      <c r="I520" s="1118"/>
      <c r="J520" s="1118"/>
      <c r="K520" s="1118"/>
      <c r="L520" s="1119"/>
      <c r="M520" s="191"/>
      <c r="N520" s="191"/>
      <c r="O520" s="191"/>
      <c r="P520" s="191"/>
      <c r="Q520" s="191"/>
      <c r="R520" s="191"/>
    </row>
    <row r="521" spans="1:18" ht="45" customHeight="1" x14ac:dyDescent="0.25">
      <c r="A521" s="191"/>
      <c r="B521" s="1111" t="s">
        <v>3471</v>
      </c>
      <c r="C521" s="1112"/>
      <c r="D521" s="1113"/>
      <c r="E521" s="1120" t="s">
        <v>4798</v>
      </c>
      <c r="F521" s="1121"/>
      <c r="G521" s="1121"/>
      <c r="H521" s="1121"/>
      <c r="I521" s="1121"/>
      <c r="J521" s="1121"/>
      <c r="K521" s="1121"/>
      <c r="L521" s="1122"/>
      <c r="M521" s="191"/>
      <c r="N521" s="191"/>
      <c r="O521" s="191"/>
      <c r="P521" s="191"/>
      <c r="Q521" s="191"/>
      <c r="R521" s="191"/>
    </row>
    <row r="522" spans="1:18" ht="30" customHeight="1" x14ac:dyDescent="0.25">
      <c r="A522" s="191"/>
      <c r="B522" s="1114" t="s">
        <v>3472</v>
      </c>
      <c r="C522" s="1115"/>
      <c r="D522" s="1116"/>
      <c r="E522" s="1117" t="s">
        <v>4566</v>
      </c>
      <c r="F522" s="1118"/>
      <c r="G522" s="1118"/>
      <c r="H522" s="1118"/>
      <c r="I522" s="1118"/>
      <c r="J522" s="1118"/>
      <c r="K522" s="1118"/>
      <c r="L522" s="1119"/>
      <c r="M522" s="191"/>
      <c r="N522" s="191"/>
      <c r="O522" s="191"/>
      <c r="P522" s="191"/>
      <c r="Q522" s="191"/>
      <c r="R522" s="191"/>
    </row>
    <row r="523" spans="1:18" ht="30" customHeight="1" x14ac:dyDescent="0.25">
      <c r="A523" s="191"/>
      <c r="B523" s="1111" t="s">
        <v>3473</v>
      </c>
      <c r="C523" s="1112"/>
      <c r="D523" s="1113"/>
      <c r="E523" s="1120" t="s">
        <v>3474</v>
      </c>
      <c r="F523" s="1121"/>
      <c r="G523" s="1121"/>
      <c r="H523" s="1121"/>
      <c r="I523" s="1121"/>
      <c r="J523" s="1121"/>
      <c r="K523" s="1121"/>
      <c r="L523" s="1122"/>
      <c r="M523" s="191"/>
      <c r="N523" s="191"/>
      <c r="O523" s="191"/>
      <c r="P523" s="191"/>
      <c r="Q523" s="191"/>
      <c r="R523" s="191"/>
    </row>
    <row r="524" spans="1:18" ht="30" customHeight="1" x14ac:dyDescent="0.25">
      <c r="A524" s="191"/>
      <c r="B524" s="1114" t="s">
        <v>3475</v>
      </c>
      <c r="C524" s="1115"/>
      <c r="D524" s="1116"/>
      <c r="E524" s="1117" t="s">
        <v>3476</v>
      </c>
      <c r="F524" s="1118"/>
      <c r="G524" s="1118"/>
      <c r="H524" s="1118"/>
      <c r="I524" s="1118"/>
      <c r="J524" s="1118"/>
      <c r="K524" s="1118"/>
      <c r="L524" s="1119"/>
      <c r="M524" s="191"/>
      <c r="N524" s="191"/>
      <c r="O524" s="191"/>
      <c r="P524" s="191"/>
      <c r="Q524" s="191"/>
      <c r="R524" s="191"/>
    </row>
    <row r="525" spans="1:18" ht="30" customHeight="1" x14ac:dyDescent="0.25">
      <c r="A525" s="191"/>
      <c r="B525" s="1111" t="s">
        <v>3477</v>
      </c>
      <c r="C525" s="1112"/>
      <c r="D525" s="1113"/>
      <c r="E525" s="1120" t="s">
        <v>4799</v>
      </c>
      <c r="F525" s="1121"/>
      <c r="G525" s="1121"/>
      <c r="H525" s="1121"/>
      <c r="I525" s="1121"/>
      <c r="J525" s="1121"/>
      <c r="K525" s="1121"/>
      <c r="L525" s="1122"/>
      <c r="M525" s="191"/>
      <c r="N525" s="191"/>
      <c r="O525" s="191"/>
      <c r="P525" s="191"/>
      <c r="Q525" s="191"/>
      <c r="R525" s="191"/>
    </row>
    <row r="526" spans="1:18" ht="30" customHeight="1" x14ac:dyDescent="0.25">
      <c r="A526" s="191"/>
      <c r="B526" s="1114" t="s">
        <v>3478</v>
      </c>
      <c r="C526" s="1115"/>
      <c r="D526" s="1116"/>
      <c r="E526" s="1117" t="s">
        <v>3479</v>
      </c>
      <c r="F526" s="1118"/>
      <c r="G526" s="1118"/>
      <c r="H526" s="1118"/>
      <c r="I526" s="1118"/>
      <c r="J526" s="1118"/>
      <c r="K526" s="1118"/>
      <c r="L526" s="1119"/>
      <c r="M526" s="191"/>
      <c r="N526" s="191"/>
      <c r="O526" s="191"/>
      <c r="P526" s="191"/>
      <c r="Q526" s="191"/>
      <c r="R526" s="191"/>
    </row>
    <row r="527" spans="1:18" ht="30" customHeight="1" x14ac:dyDescent="0.25">
      <c r="A527" s="191"/>
      <c r="B527" s="1111" t="s">
        <v>3480</v>
      </c>
      <c r="C527" s="1112"/>
      <c r="D527" s="1113"/>
      <c r="E527" s="1120" t="s">
        <v>3481</v>
      </c>
      <c r="F527" s="1121"/>
      <c r="G527" s="1121"/>
      <c r="H527" s="1121"/>
      <c r="I527" s="1121"/>
      <c r="J527" s="1121"/>
      <c r="K527" s="1121"/>
      <c r="L527" s="1122"/>
      <c r="M527" s="191"/>
      <c r="N527" s="191"/>
      <c r="O527" s="191"/>
      <c r="P527" s="191"/>
      <c r="Q527" s="191"/>
      <c r="R527" s="191"/>
    </row>
    <row r="528" spans="1:18" ht="30" customHeight="1" x14ac:dyDescent="0.25">
      <c r="A528" s="191"/>
      <c r="B528" s="1114" t="s">
        <v>3482</v>
      </c>
      <c r="C528" s="1115"/>
      <c r="D528" s="1116"/>
      <c r="E528" s="1117" t="s">
        <v>3483</v>
      </c>
      <c r="F528" s="1118"/>
      <c r="G528" s="1118"/>
      <c r="H528" s="1118"/>
      <c r="I528" s="1118"/>
      <c r="J528" s="1118"/>
      <c r="K528" s="1118"/>
      <c r="L528" s="1119"/>
      <c r="M528" s="191"/>
      <c r="N528" s="191"/>
      <c r="O528" s="191"/>
      <c r="P528" s="191"/>
      <c r="Q528" s="191"/>
      <c r="R528" s="191"/>
    </row>
    <row r="529" spans="1:18" ht="30" customHeight="1" x14ac:dyDescent="0.25">
      <c r="A529" s="191"/>
      <c r="B529" s="1111" t="s">
        <v>3484</v>
      </c>
      <c r="C529" s="1112"/>
      <c r="D529" s="1113"/>
      <c r="E529" s="1120" t="s">
        <v>3485</v>
      </c>
      <c r="F529" s="1121"/>
      <c r="G529" s="1121"/>
      <c r="H529" s="1121"/>
      <c r="I529" s="1121"/>
      <c r="J529" s="1121"/>
      <c r="K529" s="1121"/>
      <c r="L529" s="1122"/>
      <c r="M529" s="191"/>
      <c r="N529" s="191"/>
      <c r="O529" s="191"/>
      <c r="P529" s="191"/>
      <c r="Q529" s="191"/>
      <c r="R529" s="191"/>
    </row>
    <row r="530" spans="1:18" ht="30" customHeight="1" x14ac:dyDescent="0.25">
      <c r="A530" s="191"/>
      <c r="B530" s="1114" t="s">
        <v>3486</v>
      </c>
      <c r="C530" s="1115"/>
      <c r="D530" s="1116"/>
      <c r="E530" s="1117" t="s">
        <v>3487</v>
      </c>
      <c r="F530" s="1118"/>
      <c r="G530" s="1118"/>
      <c r="H530" s="1118"/>
      <c r="I530" s="1118"/>
      <c r="J530" s="1118"/>
      <c r="K530" s="1118"/>
      <c r="L530" s="1119"/>
      <c r="M530" s="191"/>
      <c r="N530" s="191"/>
      <c r="O530" s="191"/>
      <c r="P530" s="191"/>
      <c r="Q530" s="191"/>
      <c r="R530" s="191"/>
    </row>
    <row r="531" spans="1:18" ht="30" customHeight="1" x14ac:dyDescent="0.25">
      <c r="A531" s="191"/>
      <c r="B531" s="1111" t="s">
        <v>3488</v>
      </c>
      <c r="C531" s="1112"/>
      <c r="D531" s="1113"/>
      <c r="E531" s="1120" t="s">
        <v>3489</v>
      </c>
      <c r="F531" s="1121"/>
      <c r="G531" s="1121"/>
      <c r="H531" s="1121"/>
      <c r="I531" s="1121"/>
      <c r="J531" s="1121"/>
      <c r="K531" s="1121"/>
      <c r="L531" s="1122"/>
      <c r="M531" s="191"/>
      <c r="N531" s="191"/>
      <c r="O531" s="191"/>
      <c r="P531" s="191"/>
      <c r="Q531" s="191"/>
      <c r="R531" s="191"/>
    </row>
    <row r="532" spans="1:18" ht="30" customHeight="1" x14ac:dyDescent="0.25">
      <c r="A532" s="191"/>
      <c r="B532" s="1114" t="s">
        <v>3490</v>
      </c>
      <c r="C532" s="1115"/>
      <c r="D532" s="1116"/>
      <c r="E532" s="1117" t="s">
        <v>3491</v>
      </c>
      <c r="F532" s="1118"/>
      <c r="G532" s="1118"/>
      <c r="H532" s="1118"/>
      <c r="I532" s="1118"/>
      <c r="J532" s="1118"/>
      <c r="K532" s="1118"/>
      <c r="L532" s="1119"/>
      <c r="M532" s="191"/>
      <c r="N532" s="191"/>
      <c r="O532" s="191"/>
      <c r="P532" s="191"/>
      <c r="Q532" s="191"/>
      <c r="R532" s="191"/>
    </row>
    <row r="533" spans="1:18" ht="30" customHeight="1" x14ac:dyDescent="0.25">
      <c r="A533" s="191"/>
      <c r="B533" s="1111" t="s">
        <v>3492</v>
      </c>
      <c r="C533" s="1112"/>
      <c r="D533" s="1113"/>
      <c r="E533" s="1120" t="s">
        <v>3493</v>
      </c>
      <c r="F533" s="1121"/>
      <c r="G533" s="1121"/>
      <c r="H533" s="1121"/>
      <c r="I533" s="1121"/>
      <c r="J533" s="1121"/>
      <c r="K533" s="1121"/>
      <c r="L533" s="1122"/>
      <c r="M533" s="191"/>
      <c r="N533" s="191"/>
      <c r="O533" s="191"/>
      <c r="P533" s="191"/>
      <c r="Q533" s="191"/>
      <c r="R533" s="191"/>
    </row>
    <row r="534" spans="1:18" ht="30" customHeight="1" x14ac:dyDescent="0.25">
      <c r="A534" s="191"/>
      <c r="B534" s="1114" t="s">
        <v>3494</v>
      </c>
      <c r="C534" s="1115"/>
      <c r="D534" s="1116"/>
      <c r="E534" s="1117" t="s">
        <v>3495</v>
      </c>
      <c r="F534" s="1118"/>
      <c r="G534" s="1118"/>
      <c r="H534" s="1118"/>
      <c r="I534" s="1118"/>
      <c r="J534" s="1118"/>
      <c r="K534" s="1118"/>
      <c r="L534" s="1119"/>
      <c r="M534" s="191"/>
      <c r="N534" s="191"/>
      <c r="O534" s="191"/>
      <c r="P534" s="191"/>
      <c r="Q534" s="191"/>
      <c r="R534" s="191"/>
    </row>
    <row r="535" spans="1:18" ht="30" customHeight="1" x14ac:dyDescent="0.25">
      <c r="A535" s="191"/>
      <c r="B535" s="1111" t="s">
        <v>3496</v>
      </c>
      <c r="C535" s="1112"/>
      <c r="D535" s="1113"/>
      <c r="E535" s="1120" t="s">
        <v>4419</v>
      </c>
      <c r="F535" s="1121"/>
      <c r="G535" s="1121"/>
      <c r="H535" s="1121"/>
      <c r="I535" s="1121"/>
      <c r="J535" s="1121"/>
      <c r="K535" s="1121"/>
      <c r="L535" s="1122"/>
      <c r="M535" s="191"/>
      <c r="N535" s="191"/>
      <c r="O535" s="191"/>
      <c r="P535" s="191"/>
      <c r="Q535" s="191"/>
      <c r="R535" s="191"/>
    </row>
    <row r="536" spans="1:18" ht="30" customHeight="1" x14ac:dyDescent="0.25">
      <c r="A536" s="191"/>
      <c r="B536" s="1114" t="s">
        <v>3497</v>
      </c>
      <c r="C536" s="1115"/>
      <c r="D536" s="1116"/>
      <c r="E536" s="1117" t="s">
        <v>3498</v>
      </c>
      <c r="F536" s="1118"/>
      <c r="G536" s="1118"/>
      <c r="H536" s="1118"/>
      <c r="I536" s="1118"/>
      <c r="J536" s="1118"/>
      <c r="K536" s="1118"/>
      <c r="L536" s="1119"/>
      <c r="M536" s="191"/>
      <c r="N536" s="191"/>
      <c r="O536" s="191"/>
      <c r="P536" s="191"/>
      <c r="Q536" s="191"/>
      <c r="R536" s="191"/>
    </row>
    <row r="537" spans="1:18" ht="30" customHeight="1" x14ac:dyDescent="0.25">
      <c r="A537" s="191"/>
      <c r="B537" s="1111" t="s">
        <v>3499</v>
      </c>
      <c r="C537" s="1112"/>
      <c r="D537" s="1113"/>
      <c r="E537" s="1120" t="s">
        <v>3500</v>
      </c>
      <c r="F537" s="1121"/>
      <c r="G537" s="1121"/>
      <c r="H537" s="1121"/>
      <c r="I537" s="1121"/>
      <c r="J537" s="1121"/>
      <c r="K537" s="1121"/>
      <c r="L537" s="1122"/>
      <c r="M537" s="191"/>
      <c r="N537" s="191"/>
      <c r="O537" s="191"/>
      <c r="P537" s="191"/>
      <c r="Q537" s="191"/>
      <c r="R537" s="191"/>
    </row>
    <row r="538" spans="1:18" ht="30" customHeight="1" x14ac:dyDescent="0.25">
      <c r="A538" s="191"/>
      <c r="B538" s="1114" t="s">
        <v>3501</v>
      </c>
      <c r="C538" s="1115"/>
      <c r="D538" s="1116"/>
      <c r="E538" s="1117" t="s">
        <v>3502</v>
      </c>
      <c r="F538" s="1118"/>
      <c r="G538" s="1118"/>
      <c r="H538" s="1118"/>
      <c r="I538" s="1118"/>
      <c r="J538" s="1118"/>
      <c r="K538" s="1118"/>
      <c r="L538" s="1119"/>
      <c r="M538" s="191"/>
      <c r="N538" s="191"/>
      <c r="O538" s="191"/>
      <c r="P538" s="191"/>
      <c r="Q538" s="191"/>
      <c r="R538" s="191"/>
    </row>
    <row r="539" spans="1:18" ht="30" customHeight="1" x14ac:dyDescent="0.25">
      <c r="A539" s="191"/>
      <c r="B539" s="1111" t="s">
        <v>3503</v>
      </c>
      <c r="C539" s="1112"/>
      <c r="D539" s="1113"/>
      <c r="E539" s="1120" t="s">
        <v>3504</v>
      </c>
      <c r="F539" s="1121"/>
      <c r="G539" s="1121"/>
      <c r="H539" s="1121"/>
      <c r="I539" s="1121"/>
      <c r="J539" s="1121"/>
      <c r="K539" s="1121"/>
      <c r="L539" s="1122"/>
      <c r="M539" s="191"/>
      <c r="N539" s="191"/>
      <c r="O539" s="191"/>
      <c r="P539" s="191"/>
      <c r="Q539" s="191"/>
      <c r="R539" s="191"/>
    </row>
    <row r="540" spans="1:18" ht="30" customHeight="1" x14ac:dyDescent="0.25">
      <c r="A540" s="191"/>
      <c r="B540" s="1114" t="s">
        <v>3505</v>
      </c>
      <c r="C540" s="1115"/>
      <c r="D540" s="1116"/>
      <c r="E540" s="1117" t="s">
        <v>3506</v>
      </c>
      <c r="F540" s="1118"/>
      <c r="G540" s="1118"/>
      <c r="H540" s="1118"/>
      <c r="I540" s="1118"/>
      <c r="J540" s="1118"/>
      <c r="K540" s="1118"/>
      <c r="L540" s="1119"/>
      <c r="M540" s="191"/>
      <c r="N540" s="191"/>
      <c r="O540" s="191"/>
      <c r="P540" s="191"/>
      <c r="Q540" s="191"/>
      <c r="R540" s="191"/>
    </row>
    <row r="541" spans="1:18" ht="30" customHeight="1" x14ac:dyDescent="0.25">
      <c r="A541" s="191"/>
      <c r="B541" s="1111" t="s">
        <v>3507</v>
      </c>
      <c r="C541" s="1112"/>
      <c r="D541" s="1113"/>
      <c r="E541" s="1120" t="s">
        <v>3508</v>
      </c>
      <c r="F541" s="1121"/>
      <c r="G541" s="1121"/>
      <c r="H541" s="1121"/>
      <c r="I541" s="1121"/>
      <c r="J541" s="1121"/>
      <c r="K541" s="1121"/>
      <c r="L541" s="1122"/>
      <c r="M541" s="191"/>
      <c r="N541" s="191"/>
      <c r="O541" s="191"/>
      <c r="P541" s="191"/>
      <c r="Q541" s="191"/>
      <c r="R541" s="191"/>
    </row>
    <row r="542" spans="1:18" ht="30" customHeight="1" x14ac:dyDescent="0.25">
      <c r="A542" s="191"/>
      <c r="B542" s="1114" t="s">
        <v>3509</v>
      </c>
      <c r="C542" s="1115"/>
      <c r="D542" s="1116"/>
      <c r="E542" s="1117" t="s">
        <v>4563</v>
      </c>
      <c r="F542" s="1118"/>
      <c r="G542" s="1118"/>
      <c r="H542" s="1118"/>
      <c r="I542" s="1118"/>
      <c r="J542" s="1118"/>
      <c r="K542" s="1118"/>
      <c r="L542" s="1119"/>
      <c r="M542" s="191"/>
      <c r="N542" s="191"/>
      <c r="O542" s="191"/>
      <c r="P542" s="191"/>
      <c r="Q542" s="191"/>
      <c r="R542" s="191"/>
    </row>
    <row r="543" spans="1:18" ht="30" customHeight="1" x14ac:dyDescent="0.25">
      <c r="A543" s="191"/>
      <c r="B543" s="1111" t="s">
        <v>3510</v>
      </c>
      <c r="C543" s="1112"/>
      <c r="D543" s="1113"/>
      <c r="E543" s="1120" t="s">
        <v>3511</v>
      </c>
      <c r="F543" s="1121"/>
      <c r="G543" s="1121"/>
      <c r="H543" s="1121"/>
      <c r="I543" s="1121"/>
      <c r="J543" s="1121"/>
      <c r="K543" s="1121"/>
      <c r="L543" s="1122"/>
      <c r="M543" s="191"/>
      <c r="N543" s="191"/>
      <c r="O543" s="191"/>
      <c r="P543" s="191"/>
      <c r="Q543" s="191"/>
      <c r="R543" s="191"/>
    </row>
    <row r="544" spans="1:18" ht="30" customHeight="1" x14ac:dyDescent="0.25">
      <c r="A544" s="191"/>
      <c r="B544" s="1114" t="s">
        <v>3512</v>
      </c>
      <c r="C544" s="1115"/>
      <c r="D544" s="1116"/>
      <c r="E544" s="1117" t="s">
        <v>4420</v>
      </c>
      <c r="F544" s="1118"/>
      <c r="G544" s="1118"/>
      <c r="H544" s="1118"/>
      <c r="I544" s="1118"/>
      <c r="J544" s="1118"/>
      <c r="K544" s="1118"/>
      <c r="L544" s="1119"/>
      <c r="M544" s="191"/>
      <c r="N544" s="191"/>
      <c r="O544" s="191"/>
      <c r="P544" s="191"/>
      <c r="Q544" s="191"/>
      <c r="R544" s="191"/>
    </row>
    <row r="545" spans="1:18" ht="30" customHeight="1" x14ac:dyDescent="0.25">
      <c r="A545" s="191"/>
      <c r="B545" s="1111" t="s">
        <v>3432</v>
      </c>
      <c r="C545" s="1112"/>
      <c r="D545" s="1113"/>
      <c r="E545" s="1120" t="s">
        <v>3513</v>
      </c>
      <c r="F545" s="1121"/>
      <c r="G545" s="1121"/>
      <c r="H545" s="1121"/>
      <c r="I545" s="1121"/>
      <c r="J545" s="1121"/>
      <c r="K545" s="1121"/>
      <c r="L545" s="1122"/>
      <c r="M545" s="191"/>
      <c r="N545" s="191"/>
      <c r="O545" s="191"/>
      <c r="P545" s="191"/>
      <c r="Q545" s="191"/>
      <c r="R545" s="191"/>
    </row>
    <row r="546" spans="1:18" ht="44.25" customHeight="1" x14ac:dyDescent="0.25">
      <c r="A546" s="191"/>
      <c r="B546" s="1114" t="s">
        <v>3514</v>
      </c>
      <c r="C546" s="1115"/>
      <c r="D546" s="1116"/>
      <c r="E546" s="1117" t="s">
        <v>4800</v>
      </c>
      <c r="F546" s="1118"/>
      <c r="G546" s="1118"/>
      <c r="H546" s="1118"/>
      <c r="I546" s="1118"/>
      <c r="J546" s="1118"/>
      <c r="K546" s="1118"/>
      <c r="L546" s="1119"/>
      <c r="M546" s="191"/>
      <c r="N546" s="191"/>
      <c r="O546" s="191"/>
      <c r="P546" s="191"/>
      <c r="Q546" s="191"/>
      <c r="R546" s="191"/>
    </row>
    <row r="547" spans="1:18" ht="43.5" customHeight="1" x14ac:dyDescent="0.25">
      <c r="A547" s="191"/>
      <c r="B547" s="1111" t="s">
        <v>3515</v>
      </c>
      <c r="C547" s="1112"/>
      <c r="D547" s="1113"/>
      <c r="E547" s="1120" t="s">
        <v>4801</v>
      </c>
      <c r="F547" s="1121"/>
      <c r="G547" s="1121"/>
      <c r="H547" s="1121"/>
      <c r="I547" s="1121"/>
      <c r="J547" s="1121"/>
      <c r="K547" s="1121"/>
      <c r="L547" s="1122"/>
      <c r="M547" s="191"/>
      <c r="N547" s="191"/>
      <c r="O547" s="191"/>
      <c r="P547" s="191"/>
      <c r="Q547" s="191"/>
      <c r="R547" s="191"/>
    </row>
    <row r="548" spans="1:18" ht="30" customHeight="1" x14ac:dyDescent="0.25">
      <c r="A548" s="191"/>
      <c r="B548" s="1114" t="s">
        <v>3516</v>
      </c>
      <c r="C548" s="1115"/>
      <c r="D548" s="1116"/>
      <c r="E548" s="1117" t="s">
        <v>3517</v>
      </c>
      <c r="F548" s="1118"/>
      <c r="G548" s="1118"/>
      <c r="H548" s="1118"/>
      <c r="I548" s="1118"/>
      <c r="J548" s="1118"/>
      <c r="K548" s="1118"/>
      <c r="L548" s="1119"/>
      <c r="M548" s="191"/>
      <c r="N548" s="191"/>
      <c r="O548" s="191"/>
      <c r="P548" s="191"/>
      <c r="Q548" s="191"/>
      <c r="R548" s="191"/>
    </row>
    <row r="549" spans="1:18" x14ac:dyDescent="0.2">
      <c r="A549" s="191"/>
      <c r="B549" s="24"/>
      <c r="C549" s="24"/>
      <c r="D549" s="24"/>
      <c r="E549" s="24"/>
      <c r="F549" s="24"/>
      <c r="G549" s="24"/>
      <c r="H549" s="24"/>
      <c r="I549" s="24"/>
      <c r="J549" s="24"/>
      <c r="K549" s="24"/>
      <c r="L549" s="24"/>
      <c r="M549" s="191"/>
      <c r="N549" s="191"/>
      <c r="O549" s="191"/>
      <c r="P549" s="191"/>
      <c r="Q549" s="191"/>
      <c r="R549" s="191"/>
    </row>
    <row r="550" spans="1:18" ht="18" x14ac:dyDescent="0.25">
      <c r="A550" s="191"/>
      <c r="B550" s="6" t="s">
        <v>3525</v>
      </c>
      <c r="M550" s="191"/>
      <c r="N550" s="191"/>
      <c r="O550" s="191"/>
      <c r="P550" s="191"/>
      <c r="Q550" s="191"/>
      <c r="R550" s="191"/>
    </row>
    <row r="551" spans="1:18" ht="15" customHeight="1" x14ac:dyDescent="0.25">
      <c r="A551" s="191"/>
      <c r="B551" s="1114" t="s">
        <v>3518</v>
      </c>
      <c r="C551" s="1115"/>
      <c r="D551" s="1116"/>
      <c r="E551" s="1182" t="s">
        <v>3519</v>
      </c>
      <c r="F551" s="1183"/>
      <c r="G551" s="1183"/>
      <c r="H551" s="1183"/>
      <c r="I551" s="1183"/>
      <c r="J551" s="1183"/>
      <c r="K551" s="1183"/>
      <c r="L551" s="1184"/>
      <c r="M551" s="191"/>
      <c r="N551" s="191"/>
      <c r="O551" s="191"/>
      <c r="P551" s="191"/>
      <c r="Q551" s="191"/>
      <c r="R551" s="191"/>
    </row>
    <row r="552" spans="1:18" ht="15" customHeight="1" x14ac:dyDescent="0.25">
      <c r="A552" s="191"/>
      <c r="B552" s="1111" t="s">
        <v>3367</v>
      </c>
      <c r="C552" s="1112"/>
      <c r="D552" s="1113"/>
      <c r="E552" s="1179" t="s">
        <v>3520</v>
      </c>
      <c r="F552" s="1180"/>
      <c r="G552" s="1180"/>
      <c r="H552" s="1180"/>
      <c r="I552" s="1180"/>
      <c r="J552" s="1180"/>
      <c r="K552" s="1180"/>
      <c r="L552" s="1181"/>
      <c r="M552" s="191"/>
      <c r="N552" s="191"/>
      <c r="O552" s="191"/>
      <c r="P552" s="191"/>
      <c r="Q552" s="191"/>
      <c r="R552" s="191"/>
    </row>
    <row r="553" spans="1:18" ht="15" customHeight="1" x14ac:dyDescent="0.25">
      <c r="A553" s="191"/>
      <c r="B553" s="1114" t="s">
        <v>3521</v>
      </c>
      <c r="C553" s="1115"/>
      <c r="D553" s="1116"/>
      <c r="E553" s="1182" t="s">
        <v>3522</v>
      </c>
      <c r="F553" s="1183"/>
      <c r="G553" s="1183"/>
      <c r="H553" s="1183"/>
      <c r="I553" s="1183"/>
      <c r="J553" s="1183"/>
      <c r="K553" s="1183"/>
      <c r="L553" s="1184"/>
      <c r="M553" s="191"/>
      <c r="N553" s="191"/>
      <c r="O553" s="191"/>
      <c r="P553" s="191"/>
      <c r="Q553" s="191"/>
      <c r="R553" s="191"/>
    </row>
    <row r="554" spans="1:18" ht="15" customHeight="1" x14ac:dyDescent="0.25">
      <c r="A554" s="191"/>
      <c r="B554" s="1111" t="s">
        <v>3523</v>
      </c>
      <c r="C554" s="1112"/>
      <c r="D554" s="1113"/>
      <c r="E554" s="1179" t="s">
        <v>3524</v>
      </c>
      <c r="F554" s="1180"/>
      <c r="G554" s="1180"/>
      <c r="H554" s="1180"/>
      <c r="I554" s="1180"/>
      <c r="J554" s="1180"/>
      <c r="K554" s="1180"/>
      <c r="L554" s="1181"/>
      <c r="M554" s="191"/>
      <c r="N554" s="191"/>
      <c r="O554" s="191"/>
      <c r="P554" s="191"/>
      <c r="Q554" s="191"/>
      <c r="R554" s="191"/>
    </row>
    <row r="555" spans="1:18" x14ac:dyDescent="0.2">
      <c r="A555" s="191"/>
      <c r="B555" s="24"/>
      <c r="C555" s="24"/>
      <c r="D555" s="24"/>
      <c r="E555" s="24"/>
      <c r="F555" s="24"/>
      <c r="G555" s="24"/>
      <c r="H555" s="24"/>
      <c r="I555" s="24"/>
      <c r="J555" s="24"/>
      <c r="K555" s="24"/>
      <c r="L555" s="24"/>
      <c r="M555" s="191"/>
      <c r="N555" s="191"/>
      <c r="O555" s="191"/>
      <c r="P555" s="191"/>
      <c r="Q555" s="191"/>
      <c r="R555" s="191"/>
    </row>
    <row r="556" spans="1:18" ht="18" x14ac:dyDescent="0.25">
      <c r="A556" s="191"/>
      <c r="B556" s="6" t="s">
        <v>3527</v>
      </c>
      <c r="M556" s="191"/>
      <c r="N556" s="191"/>
      <c r="O556" s="191"/>
      <c r="P556" s="191"/>
      <c r="Q556" s="191"/>
      <c r="R556" s="191"/>
    </row>
    <row r="557" spans="1:18" ht="30" customHeight="1" x14ac:dyDescent="0.25">
      <c r="A557" s="191"/>
      <c r="B557" s="1114" t="s">
        <v>3356</v>
      </c>
      <c r="C557" s="1115"/>
      <c r="D557" s="1116"/>
      <c r="E557" s="1182" t="s">
        <v>4802</v>
      </c>
      <c r="F557" s="1183"/>
      <c r="G557" s="1183"/>
      <c r="H557" s="1183"/>
      <c r="I557" s="1183"/>
      <c r="J557" s="1183"/>
      <c r="K557" s="1183"/>
      <c r="L557" s="1184"/>
      <c r="M557" s="191"/>
      <c r="N557" s="191"/>
      <c r="O557" s="191"/>
      <c r="P557" s="191"/>
      <c r="Q557" s="191"/>
      <c r="R557" s="191"/>
    </row>
    <row r="558" spans="1:18" ht="15" customHeight="1" x14ac:dyDescent="0.25">
      <c r="A558" s="191"/>
      <c r="B558" s="1111" t="s">
        <v>3365</v>
      </c>
      <c r="C558" s="1112"/>
      <c r="D558" s="1113"/>
      <c r="E558" s="1179" t="s">
        <v>4803</v>
      </c>
      <c r="F558" s="1180"/>
      <c r="G558" s="1180"/>
      <c r="H558" s="1180"/>
      <c r="I558" s="1180"/>
      <c r="J558" s="1180"/>
      <c r="K558" s="1180"/>
      <c r="L558" s="1181"/>
      <c r="M558" s="191"/>
      <c r="N558" s="191"/>
      <c r="O558" s="191"/>
      <c r="P558" s="191"/>
      <c r="Q558" s="191"/>
      <c r="R558" s="191"/>
    </row>
    <row r="559" spans="1:18" ht="15" customHeight="1" x14ac:dyDescent="0.25">
      <c r="A559" s="191"/>
      <c r="B559" s="1114" t="s">
        <v>3366</v>
      </c>
      <c r="C559" s="1115"/>
      <c r="D559" s="1116"/>
      <c r="E559" s="1182" t="s">
        <v>4804</v>
      </c>
      <c r="F559" s="1183"/>
      <c r="G559" s="1183"/>
      <c r="H559" s="1183"/>
      <c r="I559" s="1183"/>
      <c r="J559" s="1183"/>
      <c r="K559" s="1183"/>
      <c r="L559" s="1184"/>
      <c r="M559" s="191"/>
      <c r="N559" s="191"/>
      <c r="O559" s="191"/>
      <c r="P559" s="191"/>
      <c r="Q559" s="191"/>
      <c r="R559" s="191"/>
    </row>
    <row r="560" spans="1:18" ht="15" x14ac:dyDescent="0.25">
      <c r="A560" s="191"/>
      <c r="B560" s="497" t="s">
        <v>4421</v>
      </c>
      <c r="C560" s="498"/>
      <c r="D560" s="498"/>
      <c r="E560" s="498"/>
      <c r="F560" s="498"/>
      <c r="G560" s="498"/>
      <c r="H560" s="498"/>
      <c r="I560" s="498"/>
      <c r="J560" s="498"/>
      <c r="K560" s="498"/>
      <c r="L560" s="499"/>
      <c r="M560" s="191"/>
      <c r="N560" s="191"/>
      <c r="O560" s="191"/>
      <c r="P560" s="191"/>
      <c r="Q560" s="191"/>
      <c r="R560" s="191"/>
    </row>
  </sheetData>
  <sheetProtection algorithmName="SHA-512" hashValue="kp0JFzdwgFTbJL+Ozkkx+O3GqDF+53/e38lvO8ltbeZ/TNJKfdDTbLdM5fNlWdsHNJlOwWLUIIKwnl3sbqgtcA==" saltValue="vmpUbBzLemLwEkqL+gVjxA==" spinCount="100000" sheet="1" objects="1" scenarios="1"/>
  <mergeCells count="379">
    <mergeCell ref="E540:L540"/>
    <mergeCell ref="E541:L541"/>
    <mergeCell ref="E542:L542"/>
    <mergeCell ref="E543:L543"/>
    <mergeCell ref="E544:L544"/>
    <mergeCell ref="E527:L527"/>
    <mergeCell ref="E528:L528"/>
    <mergeCell ref="E529:L529"/>
    <mergeCell ref="E186:I186"/>
    <mergeCell ref="E237:F237"/>
    <mergeCell ref="E207:F207"/>
    <mergeCell ref="E246:F246"/>
    <mergeCell ref="E247:F247"/>
    <mergeCell ref="E248:F248"/>
    <mergeCell ref="E249:F249"/>
    <mergeCell ref="E217:F217"/>
    <mergeCell ref="E238:F238"/>
    <mergeCell ref="E239:F239"/>
    <mergeCell ref="E240:F240"/>
    <mergeCell ref="E241:F241"/>
    <mergeCell ref="E242:F242"/>
    <mergeCell ref="E243:F243"/>
    <mergeCell ref="E244:F244"/>
    <mergeCell ref="E245:F245"/>
    <mergeCell ref="E558:L558"/>
    <mergeCell ref="E559:L559"/>
    <mergeCell ref="E545:L545"/>
    <mergeCell ref="E546:L546"/>
    <mergeCell ref="E547:L547"/>
    <mergeCell ref="E548:L548"/>
    <mergeCell ref="E551:L551"/>
    <mergeCell ref="E552:L552"/>
    <mergeCell ref="E553:L553"/>
    <mergeCell ref="E554:L554"/>
    <mergeCell ref="E557:L557"/>
    <mergeCell ref="C404:E404"/>
    <mergeCell ref="C403:E403"/>
    <mergeCell ref="C317:E317"/>
    <mergeCell ref="C316:E316"/>
    <mergeCell ref="C284:E284"/>
    <mergeCell ref="D290:E290"/>
    <mergeCell ref="C305:E305"/>
    <mergeCell ref="C354:E354"/>
    <mergeCell ref="C399:E399"/>
    <mergeCell ref="C398:E398"/>
    <mergeCell ref="C376:E376"/>
    <mergeCell ref="C393:E393"/>
    <mergeCell ref="C378:E378"/>
    <mergeCell ref="C337:E337"/>
    <mergeCell ref="C346:E346"/>
    <mergeCell ref="C345:E345"/>
    <mergeCell ref="C344:E344"/>
    <mergeCell ref="C358:E358"/>
    <mergeCell ref="C310:E310"/>
    <mergeCell ref="C294:E294"/>
    <mergeCell ref="C295:E295"/>
    <mergeCell ref="C296:E296"/>
    <mergeCell ref="C297:E297"/>
    <mergeCell ref="C298:E298"/>
    <mergeCell ref="C413:J413"/>
    <mergeCell ref="C186:D186"/>
    <mergeCell ref="C217:D217"/>
    <mergeCell ref="C209:D209"/>
    <mergeCell ref="C183:J183"/>
    <mergeCell ref="C228:J228"/>
    <mergeCell ref="C231:J231"/>
    <mergeCell ref="C248:D248"/>
    <mergeCell ref="C208:D208"/>
    <mergeCell ref="C253:E253"/>
    <mergeCell ref="C247:D247"/>
    <mergeCell ref="C245:D245"/>
    <mergeCell ref="C241:D241"/>
    <mergeCell ref="C238:D238"/>
    <mergeCell ref="C235:E235"/>
    <mergeCell ref="C233:E233"/>
    <mergeCell ref="A222:K222"/>
    <mergeCell ref="C211:D211"/>
    <mergeCell ref="C234:E234"/>
    <mergeCell ref="E209:F209"/>
    <mergeCell ref="E210:F210"/>
    <mergeCell ref="E211:F211"/>
    <mergeCell ref="C411:J411"/>
    <mergeCell ref="C408:E408"/>
    <mergeCell ref="C430:E430"/>
    <mergeCell ref="C429:E429"/>
    <mergeCell ref="C428:E428"/>
    <mergeCell ref="C427:E427"/>
    <mergeCell ref="C426:E426"/>
    <mergeCell ref="C414:J414"/>
    <mergeCell ref="C384:E384"/>
    <mergeCell ref="K194:L194"/>
    <mergeCell ref="C215:D215"/>
    <mergeCell ref="C216:D216"/>
    <mergeCell ref="C244:D244"/>
    <mergeCell ref="C207:D207"/>
    <mergeCell ref="C214:D214"/>
    <mergeCell ref="C213:D213"/>
    <mergeCell ref="D275:E275"/>
    <mergeCell ref="D274:E274"/>
    <mergeCell ref="D268:E268"/>
    <mergeCell ref="D267:E267"/>
    <mergeCell ref="C266:E266"/>
    <mergeCell ref="C265:E265"/>
    <mergeCell ref="C270:E270"/>
    <mergeCell ref="E216:F216"/>
    <mergeCell ref="E208:F208"/>
    <mergeCell ref="C410:J410"/>
    <mergeCell ref="C440:E440"/>
    <mergeCell ref="C439:E439"/>
    <mergeCell ref="C438:E438"/>
    <mergeCell ref="C436:E436"/>
    <mergeCell ref="D435:E435"/>
    <mergeCell ref="C432:E432"/>
    <mergeCell ref="D434:E434"/>
    <mergeCell ref="C433:E433"/>
    <mergeCell ref="C431:E431"/>
    <mergeCell ref="C451:E451"/>
    <mergeCell ref="C450:E450"/>
    <mergeCell ref="C449:E449"/>
    <mergeCell ref="C448:E448"/>
    <mergeCell ref="C446:E446"/>
    <mergeCell ref="D445:E445"/>
    <mergeCell ref="D444:E444"/>
    <mergeCell ref="C442:E442"/>
    <mergeCell ref="C441:E441"/>
    <mergeCell ref="C460:E460"/>
    <mergeCell ref="C459:E459"/>
    <mergeCell ref="C458:E458"/>
    <mergeCell ref="C457:E457"/>
    <mergeCell ref="C456:E456"/>
    <mergeCell ref="C455:E455"/>
    <mergeCell ref="C454:E454"/>
    <mergeCell ref="C453:E453"/>
    <mergeCell ref="C452:E452"/>
    <mergeCell ref="C469:E469"/>
    <mergeCell ref="C468:E468"/>
    <mergeCell ref="C467:E467"/>
    <mergeCell ref="C466:E466"/>
    <mergeCell ref="C465:E465"/>
    <mergeCell ref="C464:E464"/>
    <mergeCell ref="C463:E463"/>
    <mergeCell ref="C462:E462"/>
    <mergeCell ref="C461:E461"/>
    <mergeCell ref="E537:L537"/>
    <mergeCell ref="E538:L538"/>
    <mergeCell ref="E539:L539"/>
    <mergeCell ref="B516:D516"/>
    <mergeCell ref="C496:E496"/>
    <mergeCell ref="D495:E495"/>
    <mergeCell ref="D494:E494"/>
    <mergeCell ref="C493:E493"/>
    <mergeCell ref="B515:D515"/>
    <mergeCell ref="B514:D514"/>
    <mergeCell ref="C504:E504"/>
    <mergeCell ref="C503:E503"/>
    <mergeCell ref="D502:E502"/>
    <mergeCell ref="D501:E501"/>
    <mergeCell ref="B509:D509"/>
    <mergeCell ref="B508:D508"/>
    <mergeCell ref="E510:L510"/>
    <mergeCell ref="E511:L511"/>
    <mergeCell ref="E512:L512"/>
    <mergeCell ref="E513:L513"/>
    <mergeCell ref="E514:L514"/>
    <mergeCell ref="E515:L515"/>
    <mergeCell ref="E508:L508"/>
    <mergeCell ref="E509:L509"/>
    <mergeCell ref="D478:E478"/>
    <mergeCell ref="C347:E347"/>
    <mergeCell ref="E535:L535"/>
    <mergeCell ref="E536:L536"/>
    <mergeCell ref="E530:L530"/>
    <mergeCell ref="E531:L531"/>
    <mergeCell ref="E532:L532"/>
    <mergeCell ref="E518:L518"/>
    <mergeCell ref="E519:L519"/>
    <mergeCell ref="E520:L520"/>
    <mergeCell ref="E521:L521"/>
    <mergeCell ref="E522:L522"/>
    <mergeCell ref="E523:L523"/>
    <mergeCell ref="E524:L524"/>
    <mergeCell ref="E525:L525"/>
    <mergeCell ref="E526:L526"/>
    <mergeCell ref="C477:E477"/>
    <mergeCell ref="C476:E476"/>
    <mergeCell ref="C475:E475"/>
    <mergeCell ref="C474:E474"/>
    <mergeCell ref="C473:E473"/>
    <mergeCell ref="C472:E472"/>
    <mergeCell ref="C471:E471"/>
    <mergeCell ref="C470:E470"/>
    <mergeCell ref="C489:E489"/>
    <mergeCell ref="C487:E487"/>
    <mergeCell ref="D486:E486"/>
    <mergeCell ref="D485:E485"/>
    <mergeCell ref="C484:E484"/>
    <mergeCell ref="C483:E483"/>
    <mergeCell ref="C482:E482"/>
    <mergeCell ref="C480:E480"/>
    <mergeCell ref="D479:E479"/>
    <mergeCell ref="E533:L533"/>
    <mergeCell ref="E534:L534"/>
    <mergeCell ref="B513:D513"/>
    <mergeCell ref="B512:D512"/>
    <mergeCell ref="B511:D511"/>
    <mergeCell ref="B498:B502"/>
    <mergeCell ref="B534:D534"/>
    <mergeCell ref="C491:E491"/>
    <mergeCell ref="C490:E490"/>
    <mergeCell ref="B526:D526"/>
    <mergeCell ref="B525:D525"/>
    <mergeCell ref="B524:D524"/>
    <mergeCell ref="B523:D523"/>
    <mergeCell ref="B522:D522"/>
    <mergeCell ref="B521:D521"/>
    <mergeCell ref="B520:D520"/>
    <mergeCell ref="B519:D519"/>
    <mergeCell ref="B518:D518"/>
    <mergeCell ref="B517:D517"/>
    <mergeCell ref="B351:B356"/>
    <mergeCell ref="C343:E343"/>
    <mergeCell ref="C342:E342"/>
    <mergeCell ref="C341:E341"/>
    <mergeCell ref="C353:E353"/>
    <mergeCell ref="C352:E352"/>
    <mergeCell ref="C351:E351"/>
    <mergeCell ref="B341:B349"/>
    <mergeCell ref="C280:E280"/>
    <mergeCell ref="C334:E334"/>
    <mergeCell ref="C335:E335"/>
    <mergeCell ref="C336:E336"/>
    <mergeCell ref="D319:E319"/>
    <mergeCell ref="D320:E320"/>
    <mergeCell ref="D324:E324"/>
    <mergeCell ref="D325:E325"/>
    <mergeCell ref="B316:B320"/>
    <mergeCell ref="D313:E313"/>
    <mergeCell ref="D314:E314"/>
    <mergeCell ref="B322:B325"/>
    <mergeCell ref="C322:E322"/>
    <mergeCell ref="C323:E323"/>
    <mergeCell ref="C327:E327"/>
    <mergeCell ref="B335:B339"/>
    <mergeCell ref="C210:D210"/>
    <mergeCell ref="C287:E287"/>
    <mergeCell ref="C288:E288"/>
    <mergeCell ref="C249:D249"/>
    <mergeCell ref="C262:E262"/>
    <mergeCell ref="C261:E261"/>
    <mergeCell ref="C260:E260"/>
    <mergeCell ref="D258:E258"/>
    <mergeCell ref="C255:E255"/>
    <mergeCell ref="C254:E254"/>
    <mergeCell ref="D257:E257"/>
    <mergeCell ref="C272:E272"/>
    <mergeCell ref="C271:E271"/>
    <mergeCell ref="C212:D212"/>
    <mergeCell ref="E212:F212"/>
    <mergeCell ref="E213:F213"/>
    <mergeCell ref="E214:F214"/>
    <mergeCell ref="E215:F215"/>
    <mergeCell ref="C246:D246"/>
    <mergeCell ref="C240:D240"/>
    <mergeCell ref="C242:D242"/>
    <mergeCell ref="C239:D239"/>
    <mergeCell ref="C237:D237"/>
    <mergeCell ref="C243:D243"/>
    <mergeCell ref="C256:E256"/>
    <mergeCell ref="C282:E282"/>
    <mergeCell ref="C283:E283"/>
    <mergeCell ref="D289:E289"/>
    <mergeCell ref="C273:E273"/>
    <mergeCell ref="B260:B268"/>
    <mergeCell ref="B270:B275"/>
    <mergeCell ref="C264:E264"/>
    <mergeCell ref="C263:E263"/>
    <mergeCell ref="C285:E285"/>
    <mergeCell ref="B254:B258"/>
    <mergeCell ref="C286:E286"/>
    <mergeCell ref="C278:E278"/>
    <mergeCell ref="C279:E279"/>
    <mergeCell ref="C277:E277"/>
    <mergeCell ref="C281:E281"/>
    <mergeCell ref="D300:E300"/>
    <mergeCell ref="D301:E301"/>
    <mergeCell ref="C299:E299"/>
    <mergeCell ref="B277:B290"/>
    <mergeCell ref="C318:E318"/>
    <mergeCell ref="A6:P6"/>
    <mergeCell ref="B98:B101"/>
    <mergeCell ref="C83:D83"/>
    <mergeCell ref="C82:D82"/>
    <mergeCell ref="B141:B158"/>
    <mergeCell ref="B160:B169"/>
    <mergeCell ref="B172:B176"/>
    <mergeCell ref="B103:B109"/>
    <mergeCell ref="B115:B130"/>
    <mergeCell ref="B132:B139"/>
    <mergeCell ref="B90:B96"/>
    <mergeCell ref="L50:O58"/>
    <mergeCell ref="I49:J49"/>
    <mergeCell ref="B303:B314"/>
    <mergeCell ref="C311:E311"/>
    <mergeCell ref="C312:E312"/>
    <mergeCell ref="C303:E303"/>
    <mergeCell ref="C304:E304"/>
    <mergeCell ref="C306:E306"/>
    <mergeCell ref="B292:B301"/>
    <mergeCell ref="C292:E292"/>
    <mergeCell ref="C293:E293"/>
    <mergeCell ref="B547:D547"/>
    <mergeCell ref="B559:D559"/>
    <mergeCell ref="B558:D558"/>
    <mergeCell ref="B557:D557"/>
    <mergeCell ref="B554:D554"/>
    <mergeCell ref="B553:D553"/>
    <mergeCell ref="B552:D552"/>
    <mergeCell ref="B551:D551"/>
    <mergeCell ref="B548:D548"/>
    <mergeCell ref="B546:D546"/>
    <mergeCell ref="B545:D545"/>
    <mergeCell ref="B544:D544"/>
    <mergeCell ref="B543:D543"/>
    <mergeCell ref="B537:D537"/>
    <mergeCell ref="B536:D536"/>
    <mergeCell ref="B535:D535"/>
    <mergeCell ref="B529:D529"/>
    <mergeCell ref="B528:D528"/>
    <mergeCell ref="B542:D542"/>
    <mergeCell ref="C379:E379"/>
    <mergeCell ref="C391:E391"/>
    <mergeCell ref="C380:E380"/>
    <mergeCell ref="C386:E386"/>
    <mergeCell ref="C375:E375"/>
    <mergeCell ref="C374:E374"/>
    <mergeCell ref="C373:E373"/>
    <mergeCell ref="B541:D541"/>
    <mergeCell ref="B540:D540"/>
    <mergeCell ref="B533:D533"/>
    <mergeCell ref="B532:D532"/>
    <mergeCell ref="B531:D531"/>
    <mergeCell ref="B539:D539"/>
    <mergeCell ref="B538:D538"/>
    <mergeCell ref="B530:D530"/>
    <mergeCell ref="B448:B479"/>
    <mergeCell ref="B482:B486"/>
    <mergeCell ref="B489:B495"/>
    <mergeCell ref="C492:E492"/>
    <mergeCell ref="E516:L516"/>
    <mergeCell ref="E517:L517"/>
    <mergeCell ref="C500:E500"/>
    <mergeCell ref="C499:E499"/>
    <mergeCell ref="C498:E498"/>
    <mergeCell ref="B510:D510"/>
    <mergeCell ref="B527:D527"/>
    <mergeCell ref="C365:E365"/>
    <mergeCell ref="B403:B406"/>
    <mergeCell ref="B426:B435"/>
    <mergeCell ref="B438:B445"/>
    <mergeCell ref="C369:E369"/>
    <mergeCell ref="C361:E361"/>
    <mergeCell ref="C385:E385"/>
    <mergeCell ref="C364:E364"/>
    <mergeCell ref="C368:E368"/>
    <mergeCell ref="C367:E367"/>
    <mergeCell ref="C366:E366"/>
    <mergeCell ref="B397:B401"/>
    <mergeCell ref="C392:E392"/>
    <mergeCell ref="C397:E397"/>
    <mergeCell ref="C377:E377"/>
    <mergeCell ref="C363:E363"/>
    <mergeCell ref="C362:E362"/>
    <mergeCell ref="C443:E443"/>
    <mergeCell ref="B358:B371"/>
    <mergeCell ref="C360:E360"/>
    <mergeCell ref="C359:E359"/>
    <mergeCell ref="B373:B382"/>
    <mergeCell ref="B384:B395"/>
    <mergeCell ref="C387:E387"/>
  </mergeCells>
  <conditionalFormatting sqref="I94">
    <cfRule type="expression" dxfId="151" priority="118">
      <formula>$F$94&gt;0</formula>
    </cfRule>
  </conditionalFormatting>
  <conditionalFormatting sqref="I100">
    <cfRule type="expression" dxfId="150" priority="116">
      <formula>$F$100&gt;0</formula>
    </cfRule>
  </conditionalFormatting>
  <conditionalFormatting sqref="I106">
    <cfRule type="expression" dxfId="149" priority="115">
      <formula>$F$106&gt;0</formula>
    </cfRule>
  </conditionalFormatting>
  <conditionalFormatting sqref="I107">
    <cfRule type="expression" dxfId="148" priority="114">
      <formula>$F$107&gt;0</formula>
    </cfRule>
  </conditionalFormatting>
  <conditionalFormatting sqref="I108">
    <cfRule type="expression" dxfId="147" priority="113">
      <formula>$F$108&gt;0</formula>
    </cfRule>
  </conditionalFormatting>
  <conditionalFormatting sqref="I127">
    <cfRule type="expression" dxfId="146" priority="112">
      <formula>$F$127&gt;0</formula>
    </cfRule>
  </conditionalFormatting>
  <conditionalFormatting sqref="I128">
    <cfRule type="expression" dxfId="145" priority="111">
      <formula>$F$128&gt;0</formula>
    </cfRule>
  </conditionalFormatting>
  <conditionalFormatting sqref="I129">
    <cfRule type="expression" dxfId="144" priority="110">
      <formula>$F$129&gt;0</formula>
    </cfRule>
  </conditionalFormatting>
  <conditionalFormatting sqref="I137">
    <cfRule type="expression" dxfId="143" priority="109">
      <formula>$F$137&gt;0</formula>
    </cfRule>
  </conditionalFormatting>
  <conditionalFormatting sqref="I138">
    <cfRule type="expression" dxfId="142" priority="108">
      <formula>$F$138&gt;0</formula>
    </cfRule>
  </conditionalFormatting>
  <conditionalFormatting sqref="I154">
    <cfRule type="expression" dxfId="141" priority="107">
      <formula>$F$154&gt;0</formula>
    </cfRule>
  </conditionalFormatting>
  <conditionalFormatting sqref="I155">
    <cfRule type="expression" dxfId="140" priority="106">
      <formula>$F$155&gt;0</formula>
    </cfRule>
  </conditionalFormatting>
  <conditionalFormatting sqref="I156">
    <cfRule type="expression" dxfId="139" priority="105">
      <formula>$F$156&gt;0</formula>
    </cfRule>
  </conditionalFormatting>
  <conditionalFormatting sqref="I157">
    <cfRule type="expression" dxfId="138" priority="104">
      <formula>$F$157&gt;0</formula>
    </cfRule>
  </conditionalFormatting>
  <conditionalFormatting sqref="I167">
    <cfRule type="expression" dxfId="137" priority="103">
      <formula>$F$167&gt;0</formula>
    </cfRule>
  </conditionalFormatting>
  <conditionalFormatting sqref="I168">
    <cfRule type="expression" dxfId="136" priority="102">
      <formula>$F$168&gt;0</formula>
    </cfRule>
  </conditionalFormatting>
  <conditionalFormatting sqref="I169">
    <cfRule type="expression" dxfId="135" priority="101">
      <formula>$F$169&gt;0</formula>
    </cfRule>
  </conditionalFormatting>
  <conditionalFormatting sqref="I173">
    <cfRule type="expression" dxfId="134" priority="100">
      <formula>$F$173&gt;0</formula>
    </cfRule>
  </conditionalFormatting>
  <conditionalFormatting sqref="I174">
    <cfRule type="expression" dxfId="133" priority="99">
      <formula>$F$174&gt;0</formula>
    </cfRule>
  </conditionalFormatting>
  <conditionalFormatting sqref="I175">
    <cfRule type="expression" dxfId="132" priority="98">
      <formula>$F$175&gt;0</formula>
    </cfRule>
  </conditionalFormatting>
  <conditionalFormatting sqref="T338:T339 T348:T349 T355:T356 T381:T382 T394:T395 T405:T406">
    <cfRule type="expression" dxfId="131" priority="94">
      <formula>#REF!&gt;0</formula>
    </cfRule>
  </conditionalFormatting>
  <conditionalFormatting sqref="T370:T371">
    <cfRule type="expression" dxfId="130" priority="92">
      <formula>#REF!&gt;0</formula>
    </cfRule>
  </conditionalFormatting>
  <conditionalFormatting sqref="T400:T401">
    <cfRule type="expression" dxfId="129" priority="91">
      <formula>#REF!&gt;0</formula>
    </cfRule>
  </conditionalFormatting>
  <conditionalFormatting sqref="H94 H100 H106:H108 H127:H129 H137:H138 H154:H157 H167:H169 H173:H175">
    <cfRule type="expression" dxfId="128" priority="89">
      <formula>$G94&gt;0</formula>
    </cfRule>
  </conditionalFormatting>
  <conditionalFormatting sqref="J335:J339 J341:J349 J358:J371 J381:J382 J397:J401 J403:J406 J351:J356 J384:J395">
    <cfRule type="expression" dxfId="127" priority="88">
      <formula>$J$334="N/A"</formula>
    </cfRule>
  </conditionalFormatting>
  <conditionalFormatting sqref="K335:K339 K341:K349 K358:K371 K381:K382 K384:K385 K397:K401 K403:K406 K351:K356 K393:K395">
    <cfRule type="expression" dxfId="126" priority="87">
      <formula>$K$334="N/A"</formula>
    </cfRule>
  </conditionalFormatting>
  <conditionalFormatting sqref="L335:L339 L341:L349 L358:L371 L381:L382 L384 L397:L401 L403:L406 L351:L356 L393:L395">
    <cfRule type="expression" dxfId="125" priority="86">
      <formula>$L$334="N/A"</formula>
    </cfRule>
  </conditionalFormatting>
  <conditionalFormatting sqref="M335:M339 M341:M349 M358:M371 M373:M382 M384 M397:M401 M403:M406 M351:M356 M394:M395">
    <cfRule type="expression" dxfId="124" priority="85">
      <formula>$M$334="N/A"</formula>
    </cfRule>
  </conditionalFormatting>
  <conditionalFormatting sqref="N335:N339 N341:N349 N358:N371 N373:N382 N397:N401 N403:N406 N351:N356 N384:N395">
    <cfRule type="expression" dxfId="123" priority="84">
      <formula>$N$334="N/A"</formula>
    </cfRule>
  </conditionalFormatting>
  <conditionalFormatting sqref="O335:O339 O341:O343 O358:O371 O373:O382 O397:O401 O403:O406 O351:O356 O345:O349 O384:O395">
    <cfRule type="expression" dxfId="122" priority="83">
      <formula>$O$334="N/A"</formula>
    </cfRule>
  </conditionalFormatting>
  <conditionalFormatting sqref="P341 P358:P371 P373:P382 P397:P401 P403:P406 P351:P356 P343:P349 P384:P395">
    <cfRule type="expression" dxfId="121" priority="82">
      <formula>$P$334="N/A"</formula>
    </cfRule>
  </conditionalFormatting>
  <conditionalFormatting sqref="P335:P339">
    <cfRule type="expression" dxfId="120" priority="81">
      <formula>$P$334="N/A"</formula>
    </cfRule>
  </conditionalFormatting>
  <conditionalFormatting sqref="Q335:Q339 Q341 Q351:Q356 Q358:Q371 Q373:Q382 Q397:Q401 Q403:Q406 Q343:Q349 Q384:Q395">
    <cfRule type="expression" dxfId="119" priority="58">
      <formula>$Q$334="N/A"</formula>
    </cfRule>
  </conditionalFormatting>
  <conditionalFormatting sqref="R335:R339 R341:R349 R351:R356 R358:R371 R373:R382 R397:R401 R403:R406 R384:R395">
    <cfRule type="expression" dxfId="118" priority="57">
      <formula>$R$334="N/A"</formula>
    </cfRule>
  </conditionalFormatting>
  <conditionalFormatting sqref="N241">
    <cfRule type="expression" dxfId="117" priority="53">
      <formula>$G$241&gt;0</formula>
    </cfRule>
  </conditionalFormatting>
  <conditionalFormatting sqref="O241">
    <cfRule type="expression" dxfId="116" priority="52">
      <formula>$G$241&gt;0</formula>
    </cfRule>
  </conditionalFormatting>
  <conditionalFormatting sqref="L211">
    <cfRule type="expression" dxfId="115" priority="51">
      <formula>$G$211&gt;0</formula>
    </cfRule>
  </conditionalFormatting>
  <conditionalFormatting sqref="M211">
    <cfRule type="expression" dxfId="114" priority="50">
      <formula>$G$211&gt;0</formula>
    </cfRule>
  </conditionalFormatting>
  <conditionalFormatting sqref="H335:H339 H351:H356 H341:H349 H373:H382 H397:H401 H403:H406 H358:H371 I358 H384:H395">
    <cfRule type="expression" dxfId="113" priority="119">
      <formula>$G$239=0</formula>
    </cfRule>
  </conditionalFormatting>
  <conditionalFormatting sqref="I421">
    <cfRule type="expression" dxfId="112" priority="49">
      <formula>$G$421="Yes"</formula>
    </cfRule>
  </conditionalFormatting>
  <conditionalFormatting sqref="I422">
    <cfRule type="expression" dxfId="111" priority="48">
      <formula>$G$421="Yes"</formula>
    </cfRule>
  </conditionalFormatting>
  <conditionalFormatting sqref="P342">
    <cfRule type="expression" dxfId="110" priority="42">
      <formula>$P$334="N/A"</formula>
    </cfRule>
  </conditionalFormatting>
  <conditionalFormatting sqref="Q342">
    <cfRule type="expression" dxfId="109" priority="41">
      <formula>$Q$334="N/A"</formula>
    </cfRule>
  </conditionalFormatting>
  <conditionalFormatting sqref="J373:J380">
    <cfRule type="expression" dxfId="108" priority="16">
      <formula>$J$334="N/A"</formula>
    </cfRule>
  </conditionalFormatting>
  <conditionalFormatting sqref="K373:K380">
    <cfRule type="expression" dxfId="107" priority="15">
      <formula>$K$334="N/A"</formula>
    </cfRule>
  </conditionalFormatting>
  <conditionalFormatting sqref="L373:L380">
    <cfRule type="expression" dxfId="106" priority="14">
      <formula>$L$334="N/A"</formula>
    </cfRule>
  </conditionalFormatting>
  <conditionalFormatting sqref="I335:I339 I351:I356 I341:I349 I373:I382 I397:I401 I403:I406 I359:I371 I384:I395">
    <cfRule type="expression" dxfId="105" priority="10">
      <formula>$G$240=0</formula>
    </cfRule>
  </conditionalFormatting>
  <conditionalFormatting sqref="O344">
    <cfRule type="expression" dxfId="104" priority="9">
      <formula>$O$334="N/A"</formula>
    </cfRule>
  </conditionalFormatting>
  <conditionalFormatting sqref="L385:L392">
    <cfRule type="expression" dxfId="103" priority="8">
      <formula>$L$334="N/A"</formula>
    </cfRule>
  </conditionalFormatting>
  <conditionalFormatting sqref="K386:K392">
    <cfRule type="expression" dxfId="102" priority="7">
      <formula>$K$334="N/A"</formula>
    </cfRule>
  </conditionalFormatting>
  <conditionalFormatting sqref="M385:M393">
    <cfRule type="expression" dxfId="101" priority="6">
      <formula>$M$334="N/A"</formula>
    </cfRule>
  </conditionalFormatting>
  <conditionalFormatting sqref="J203">
    <cfRule type="expression" dxfId="100" priority="3">
      <formula>SUM($D$203:$I$203)&gt;0</formula>
    </cfRule>
  </conditionalFormatting>
  <conditionalFormatting sqref="J224">
    <cfRule type="expression" dxfId="99" priority="120">
      <formula>$E$224="Yes"</formula>
    </cfRule>
  </conditionalFormatting>
  <conditionalFormatting sqref="K203">
    <cfRule type="expression" dxfId="98" priority="2">
      <formula>$F$100&gt;0</formula>
    </cfRule>
  </conditionalFormatting>
  <dataValidations count="6">
    <dataValidation type="list" allowBlank="1" showInputMessage="1" showErrorMessage="1" sqref="N9:N44" xr:uid="{00000000-0002-0000-0400-000000000000}">
      <formula1>"HUD,RD,Other,None"</formula1>
    </dataValidation>
    <dataValidation type="list" allowBlank="1" showInputMessage="1" showErrorMessage="1" sqref="E82" xr:uid="{00000000-0002-0000-0400-000001000000}">
      <formula1>".05,.07"</formula1>
    </dataValidation>
    <dataValidation type="list" allowBlank="1" showInputMessage="1" showErrorMessage="1" sqref="L238:L249 G418:G422 E224:E225" xr:uid="{00000000-0002-0000-0400-000002000000}">
      <formula1>"Yes,No"</formula1>
    </dataValidation>
    <dataValidation type="whole" allowBlank="1" showErrorMessage="1" error="Enter whole numbers only." sqref="F172:F175 F160:F169 F141:F157 F132:F138 F115:F129 F103:F108 F98:F100 F91:F94" xr:uid="{00000000-0002-0000-0400-000003000000}">
      <formula1>0</formula1>
      <formula2>9.99999999999999E+44</formula2>
    </dataValidation>
    <dataValidation type="whole" allowBlank="1" showErrorMessage="1" errorTitle="Whole Numbers" error="Only enter whole numbers." sqref="F426:H504" xr:uid="{00000000-0002-0000-0400-000004000000}">
      <formula1>0</formula1>
      <formula2>9.99999999999999E+46</formula2>
    </dataValidation>
    <dataValidation type="whole" allowBlank="1" showErrorMessage="1" error="A whole number must be entered." prompt="Enter whole numbers only." sqref="K335:S393 J254:J393 F253:I393 F394:S408" xr:uid="{00000000-0002-0000-0400-000005000000}">
      <formula1>0</formula1>
      <formula2>9.99999999999999E+44</formula2>
    </dataValidation>
  </dataValidations>
  <pageMargins left="0.7" right="0.7" top="0.75" bottom="0.75" header="0.3" footer="0.3"/>
  <pageSetup scale="36" orientation="portrait" r:id="rId1"/>
  <colBreaks count="1" manualBreakCount="1">
    <brk id="17" max="1048575" man="1"/>
  </colBreaks>
  <ignoredErrors>
    <ignoredError sqref="I208 I210 I212:I217 I239 I242:I249" unlockedFormula="1"/>
    <ignoredError sqref="G90:G96 G98:G101 G103:G109 G111 G115:G130 G132:G139 G141:G158 G160:G170 G172:G176 G178 G180 J426:K435 J438:K445 J448:K479 J482:K486 J489:K489" evalError="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R74"/>
  <sheetViews>
    <sheetView zoomScale="85" zoomScaleNormal="85" workbookViewId="0">
      <selection activeCell="H50" sqref="H50"/>
    </sheetView>
  </sheetViews>
  <sheetFormatPr defaultColWidth="9" defaultRowHeight="14.25" x14ac:dyDescent="0.2"/>
  <cols>
    <col min="1" max="1" width="9" style="5"/>
    <col min="2" max="2" width="31.75" style="5" bestFit="1" customWidth="1"/>
    <col min="3" max="5" width="15.5" style="5" customWidth="1"/>
    <col min="6" max="6" width="9" style="5"/>
    <col min="7" max="7" width="14.875" style="5" customWidth="1"/>
    <col min="8" max="8" width="23" style="5" customWidth="1"/>
    <col min="9" max="9" width="9" style="5"/>
    <col min="10" max="10" width="14" style="5" bestFit="1" customWidth="1"/>
    <col min="11" max="14" width="9" style="5"/>
    <col min="15" max="16384" width="9" style="191"/>
  </cols>
  <sheetData>
    <row r="1" spans="1:14" ht="54.95" customHeight="1" x14ac:dyDescent="0.2"/>
    <row r="2" spans="1:14" s="192" customFormat="1" ht="22.5" x14ac:dyDescent="0.3">
      <c r="A2" s="3" t="s">
        <v>5</v>
      </c>
      <c r="B2" s="1"/>
      <c r="C2" s="1"/>
      <c r="D2" s="1"/>
      <c r="E2" s="1"/>
      <c r="F2" s="1"/>
      <c r="G2" s="1"/>
      <c r="H2" s="1"/>
      <c r="I2" s="1"/>
      <c r="J2" s="1"/>
      <c r="K2" s="1"/>
      <c r="L2" s="1"/>
      <c r="M2" s="1"/>
      <c r="N2" s="1"/>
    </row>
    <row r="3" spans="1:14" s="193" customFormat="1" ht="15.75" x14ac:dyDescent="0.25">
      <c r="A3" s="4" t="s">
        <v>4297</v>
      </c>
      <c r="B3" s="38">
        <f>'Project Details'!C7</f>
        <v>0</v>
      </c>
      <c r="C3" s="38"/>
      <c r="D3" s="2"/>
      <c r="E3" s="2"/>
      <c r="F3" s="2"/>
      <c r="G3" s="2"/>
      <c r="H3" s="2"/>
      <c r="I3" s="2"/>
      <c r="J3" s="2"/>
      <c r="K3" s="2"/>
      <c r="L3" s="2"/>
      <c r="M3" s="2"/>
      <c r="N3" s="2"/>
    </row>
    <row r="5" spans="1:14" s="197" customFormat="1" ht="24.95" customHeight="1" x14ac:dyDescent="0.2">
      <c r="A5" s="740" t="s">
        <v>3532</v>
      </c>
      <c r="B5" s="187"/>
      <c r="C5" s="187"/>
      <c r="D5" s="187"/>
      <c r="E5" s="187"/>
      <c r="F5" s="187"/>
      <c r="G5" s="187"/>
      <c r="H5" s="187"/>
      <c r="I5" s="187"/>
      <c r="M5" s="187"/>
      <c r="N5" s="187"/>
    </row>
    <row r="6" spans="1:14" ht="45" x14ac:dyDescent="0.25">
      <c r="A6" s="6"/>
      <c r="C6" s="57" t="s">
        <v>3533</v>
      </c>
      <c r="D6" s="57" t="s">
        <v>3534</v>
      </c>
      <c r="E6" s="57" t="s">
        <v>3535</v>
      </c>
      <c r="F6" s="21"/>
      <c r="J6" s="191"/>
      <c r="K6" s="191"/>
      <c r="L6" s="191"/>
    </row>
    <row r="7" spans="1:14" ht="14.25" customHeight="1" x14ac:dyDescent="0.25">
      <c r="A7" s="6"/>
      <c r="B7" s="5" t="s">
        <v>3536</v>
      </c>
      <c r="C7" s="32">
        <f>'Budget &amp; Costs'!F327</f>
        <v>0</v>
      </c>
      <c r="D7" s="32">
        <f>'Budget &amp; Costs'!G327</f>
        <v>0</v>
      </c>
      <c r="E7" s="32">
        <f>'Budget &amp; Costs'!H327</f>
        <v>0</v>
      </c>
      <c r="J7" s="191"/>
      <c r="K7" s="191"/>
      <c r="L7" s="191"/>
    </row>
    <row r="8" spans="1:14" ht="14.25" customHeight="1" x14ac:dyDescent="0.25">
      <c r="A8" s="6"/>
      <c r="B8" s="5" t="s">
        <v>3540</v>
      </c>
      <c r="C8" s="32">
        <f>'Budget &amp; Costs'!F234</f>
        <v>0</v>
      </c>
      <c r="D8" s="32">
        <f>'Budget &amp; Costs'!G234</f>
        <v>0</v>
      </c>
      <c r="E8" s="32">
        <f>'Budget &amp; Costs'!H234</f>
        <v>0</v>
      </c>
      <c r="J8" s="191"/>
      <c r="K8" s="191"/>
      <c r="L8" s="191"/>
    </row>
    <row r="9" spans="1:14" ht="15" customHeight="1" x14ac:dyDescent="0.25">
      <c r="B9" s="5" t="s">
        <v>3546</v>
      </c>
      <c r="C9" s="32">
        <f>'Budget &amp; Costs'!F235</f>
        <v>0</v>
      </c>
      <c r="D9" s="32">
        <f>'Budget &amp; Costs'!G235</f>
        <v>0</v>
      </c>
      <c r="E9" s="32">
        <f>'Budget &amp; Costs'!H235</f>
        <v>0</v>
      </c>
      <c r="G9" s="16" t="s">
        <v>4531</v>
      </c>
      <c r="H9" s="16" t="s">
        <v>4530</v>
      </c>
      <c r="J9" s="191"/>
      <c r="K9" s="191"/>
      <c r="L9" s="191"/>
    </row>
    <row r="10" spans="1:14" ht="14.25" customHeight="1" x14ac:dyDescent="0.2">
      <c r="B10" s="5" t="s">
        <v>3547</v>
      </c>
      <c r="C10" s="625"/>
      <c r="D10" s="32">
        <f>'Budget &amp; Costs'!O241</f>
        <v>0</v>
      </c>
      <c r="E10" s="625"/>
      <c r="G10" s="32">
        <f>'Budget &amp; Costs'!G211</f>
        <v>0</v>
      </c>
      <c r="H10" s="32">
        <f>'Budget &amp; Costs'!G241</f>
        <v>0</v>
      </c>
      <c r="J10" s="191"/>
      <c r="K10" s="191"/>
      <c r="L10" s="191"/>
    </row>
    <row r="11" spans="1:14" ht="14.25" customHeight="1" x14ac:dyDescent="0.2">
      <c r="B11" s="5" t="s">
        <v>3548</v>
      </c>
      <c r="C11" s="32">
        <f>C7-(C8+C9+C10)</f>
        <v>0</v>
      </c>
      <c r="D11" s="32">
        <f>D7-(D8+D9+D10)</f>
        <v>0</v>
      </c>
      <c r="E11" s="32">
        <f>E7-(E8+E9+E10)</f>
        <v>0</v>
      </c>
      <c r="F11" s="417">
        <f>IFERROR(E11+D11+C11,0)</f>
        <v>0</v>
      </c>
      <c r="J11" s="191"/>
      <c r="K11" s="191"/>
      <c r="L11" s="191"/>
    </row>
    <row r="12" spans="1:14" ht="15.75" customHeight="1" x14ac:dyDescent="0.25">
      <c r="F12" s="148"/>
      <c r="G12" s="16" t="s">
        <v>3927</v>
      </c>
      <c r="H12" s="16" t="s">
        <v>3932</v>
      </c>
      <c r="J12" s="191"/>
      <c r="K12" s="191"/>
      <c r="L12" s="191"/>
    </row>
    <row r="13" spans="1:14" x14ac:dyDescent="0.2">
      <c r="B13" s="5" t="s">
        <v>4109</v>
      </c>
      <c r="C13" s="626"/>
      <c r="D13" s="141">
        <v>0</v>
      </c>
      <c r="E13" s="141">
        <v>0</v>
      </c>
      <c r="F13" s="148"/>
      <c r="G13" s="17" t="str">
        <f>'Project Details'!G14</f>
        <v/>
      </c>
      <c r="H13" s="17" t="str">
        <f>'Project Details'!G15</f>
        <v/>
      </c>
      <c r="J13" s="191"/>
      <c r="K13" s="191"/>
      <c r="L13" s="191"/>
    </row>
    <row r="14" spans="1:14" x14ac:dyDescent="0.2">
      <c r="F14" s="148"/>
      <c r="J14" s="191"/>
      <c r="K14" s="191"/>
      <c r="L14" s="191"/>
    </row>
    <row r="15" spans="1:14" ht="15" x14ac:dyDescent="0.25">
      <c r="B15" s="5" t="s">
        <v>4422</v>
      </c>
      <c r="C15" s="50" t="s">
        <v>3924</v>
      </c>
      <c r="D15" s="30">
        <f>D11+(D11*0.3*D13)</f>
        <v>0</v>
      </c>
      <c r="E15" s="30">
        <f>E11+(E11*0.3*E13)</f>
        <v>0</v>
      </c>
      <c r="F15" s="418">
        <f>IFERROR(E15+D15+C15,0)</f>
        <v>0</v>
      </c>
      <c r="G15" s="16" t="s">
        <v>19</v>
      </c>
      <c r="H15" s="16" t="s">
        <v>20</v>
      </c>
      <c r="J15" s="191"/>
      <c r="K15" s="191"/>
      <c r="L15" s="191"/>
    </row>
    <row r="16" spans="1:14" x14ac:dyDescent="0.2">
      <c r="B16" s="5" t="s">
        <v>4037</v>
      </c>
      <c r="C16" s="50" t="s">
        <v>3924</v>
      </c>
      <c r="D16" s="50" t="str">
        <f>IF(AND(G25="9% Competitive",OR('Project Details'!C22="Service Enriched Housing")),(D11*1.3),"N/A")</f>
        <v>N/A</v>
      </c>
      <c r="E16" s="50" t="str">
        <f>IF(AND(G25="9% Competitive",OR('Project Details'!C22="Service Enriched Housing")),(E11*1.3),"N/A")</f>
        <v>N/A</v>
      </c>
      <c r="F16" s="418">
        <f t="shared" ref="F16:F21" si="0">IFERROR(E16+D16+C16,0)</f>
        <v>0</v>
      </c>
      <c r="G16" s="17" t="str">
        <f>'Project Details'!C15</f>
        <v/>
      </c>
      <c r="H16" s="17" t="str">
        <f>'Project Details'!C17</f>
        <v/>
      </c>
      <c r="J16" s="191"/>
      <c r="K16" s="191"/>
      <c r="L16" s="191"/>
    </row>
    <row r="17" spans="2:12" x14ac:dyDescent="0.2">
      <c r="B17" s="5" t="s">
        <v>4070</v>
      </c>
      <c r="C17" s="50" t="s">
        <v>3924</v>
      </c>
      <c r="D17" s="50" t="str">
        <f>IF(AND(G25="9% Competitive",OR('Project Details'!C15="High",'Project Details'!C15="Very High")),(D11*1.3),"N/A")</f>
        <v>N/A</v>
      </c>
      <c r="E17" s="50" t="str">
        <f>IF(AND(G25="9% Competitive",OR('Project Details'!$C$15="High",'Project Details'!C15="Very High")),(E11*1.3),"N/A")</f>
        <v>N/A</v>
      </c>
      <c r="F17" s="418">
        <f t="shared" si="0"/>
        <v>0</v>
      </c>
      <c r="J17" s="191"/>
      <c r="K17" s="191"/>
      <c r="L17" s="191"/>
    </row>
    <row r="18" spans="2:12" ht="15" x14ac:dyDescent="0.25">
      <c r="B18" s="5" t="s">
        <v>4569</v>
      </c>
      <c r="C18" s="50" t="s">
        <v>3924</v>
      </c>
      <c r="D18" s="50" t="str">
        <f>IF(AND(G25="9% Competitive",'Project Details'!C15="Moderate",OR('Project Details'!C17="Growth",'Project Details'!C17="Strong Growth")),(D11*1.3),"N/A")</f>
        <v>N/A</v>
      </c>
      <c r="E18" s="50" t="str">
        <f>IF(AND(G25="9% Competitive",'Project Details'!C15="Moderate",OR('Project Details'!C17="Growth",'Project Details'!C17="Strong Growth")),(E11*1.3),"N/A")</f>
        <v>N/A</v>
      </c>
      <c r="F18" s="418">
        <f t="shared" si="0"/>
        <v>0</v>
      </c>
      <c r="G18" s="1090" t="s">
        <v>3556</v>
      </c>
      <c r="H18" s="1092"/>
      <c r="J18" s="191"/>
      <c r="K18" s="191"/>
      <c r="L18" s="191"/>
    </row>
    <row r="19" spans="2:12" x14ac:dyDescent="0.2">
      <c r="B19" s="5" t="s">
        <v>5330</v>
      </c>
      <c r="C19" s="50" t="s">
        <v>3924</v>
      </c>
      <c r="D19" s="50" t="str">
        <f>IF(OR(AND(G25="9% Competitive",'Project Details'!C22="New Affordability- Rural"), AND(G25="9% Competitive",'Project Details'!C22="Preserved Affordability"), AND(G25="9% Competitive",'Project Details'!C14="Non-Urban",'Project Details'!C22="Preserved Affordability: HUD Subsidy Preservation")), (D11*1.15), "N/A")</f>
        <v>N/A</v>
      </c>
      <c r="E19" s="50" t="str">
        <f>IF(OR(AND(G25="9% Competitive",'Project Details'!C22="New Affordability- Rural"), AND(G25="9% Competitive",'Project Details'!C22="Preserved Affordability"), AND(G25="9% Competitive",'Project Details'!C14="Non-Urban",'Project Details'!C22="Preserved Affordability: HUD Subsidy Preservation")), (E11*1.15), "N/A")</f>
        <v>N/A</v>
      </c>
      <c r="F19" s="418">
        <f t="shared" si="0"/>
        <v>0</v>
      </c>
      <c r="G19" s="1191">
        <f>'Project Details'!C22</f>
        <v>0</v>
      </c>
      <c r="H19" s="1192"/>
    </row>
    <row r="20" spans="2:12" x14ac:dyDescent="0.2">
      <c r="B20" s="5" t="s">
        <v>4394</v>
      </c>
      <c r="C20" s="50" t="s">
        <v>3924</v>
      </c>
      <c r="D20" s="50" t="str">
        <f>IF(AND(G25="9% Competitive",'Budget &amp; Costs'!I60&gt;=0.24,OR('Project Details'!C26="New Affordability")),(D11*1.15),"N/A")</f>
        <v>N/A</v>
      </c>
      <c r="E20" s="50" t="str">
        <f>IF(AND(G25="9% Competitive",'Budget &amp; Costs'!I60&gt;=0.25,OR('Project Details'!C26="New Affordability")),(E11*1.15),"N/A")</f>
        <v>N/A</v>
      </c>
      <c r="F20" s="418">
        <f t="shared" si="0"/>
        <v>0</v>
      </c>
    </row>
    <row r="21" spans="2:12" ht="15" x14ac:dyDescent="0.25">
      <c r="B21" s="5" t="s">
        <v>5331</v>
      </c>
      <c r="C21" s="50" t="s">
        <v>3924</v>
      </c>
      <c r="D21" s="50" t="str">
        <f>IF(AND(G25="9% Competitive",'Development Team'!D70="Yes"),(1.15*D11),"N/A")</f>
        <v>N/A</v>
      </c>
      <c r="E21" s="50" t="str">
        <f>IF(AND(G25="9% Competitive",'Development Team'!D70="Yes"),(1.15*E11),"N/A")</f>
        <v>N/A</v>
      </c>
      <c r="F21" s="418">
        <f t="shared" si="0"/>
        <v>0</v>
      </c>
      <c r="G21" s="16" t="s">
        <v>3571</v>
      </c>
      <c r="H21" s="16" t="s">
        <v>4222</v>
      </c>
    </row>
    <row r="22" spans="2:12" x14ac:dyDescent="0.2">
      <c r="G22" s="18">
        <f>'Budget &amp; Costs'!I60</f>
        <v>0</v>
      </c>
      <c r="H22" s="18">
        <f>'Budget &amp; Costs'!E52</f>
        <v>0</v>
      </c>
    </row>
    <row r="23" spans="2:12" x14ac:dyDescent="0.2">
      <c r="B23" s="5" t="s">
        <v>4057</v>
      </c>
      <c r="C23" s="30">
        <f>C11</f>
        <v>0</v>
      </c>
      <c r="D23" s="30">
        <f>MAX(D15:D21)</f>
        <v>0</v>
      </c>
      <c r="E23" s="30">
        <f>MAX(E15:E21)</f>
        <v>0</v>
      </c>
    </row>
    <row r="24" spans="2:12" ht="15" x14ac:dyDescent="0.25">
      <c r="G24" s="1090" t="s">
        <v>4815</v>
      </c>
      <c r="H24" s="1092"/>
    </row>
    <row r="25" spans="2:12" x14ac:dyDescent="0.2">
      <c r="B25" s="5" t="s">
        <v>3573</v>
      </c>
      <c r="C25" s="51">
        <f>IFERROR('Budget &amp; Costs'!D50/('Budget &amp; Costs'!D49-'Budget &amp; Costs'!D51),0)</f>
        <v>0</v>
      </c>
      <c r="G25" s="1171">
        <f>'Project Details'!C20</f>
        <v>0</v>
      </c>
      <c r="H25" s="1172"/>
    </row>
    <row r="26" spans="2:12" x14ac:dyDescent="0.2">
      <c r="B26" s="5" t="s">
        <v>3574</v>
      </c>
      <c r="C26" s="51">
        <f>IFERROR('Project Details'!C244/('Project Details'!C244+'Project Details'!C243),0)</f>
        <v>0</v>
      </c>
    </row>
    <row r="27" spans="2:12" x14ac:dyDescent="0.2">
      <c r="B27" s="5" t="s">
        <v>3572</v>
      </c>
      <c r="C27" s="52">
        <f>ROUND(MIN(C25:C26),4)</f>
        <v>0</v>
      </c>
    </row>
    <row r="29" spans="2:12" x14ac:dyDescent="0.2">
      <c r="B29" s="5" t="s">
        <v>4056</v>
      </c>
      <c r="C29" s="30">
        <f>$C$27*C23</f>
        <v>0</v>
      </c>
      <c r="D29" s="30">
        <f>$C$27*D23</f>
        <v>0</v>
      </c>
      <c r="E29" s="30">
        <f>$C$27*E23</f>
        <v>0</v>
      </c>
    </row>
    <row r="31" spans="2:12" x14ac:dyDescent="0.2">
      <c r="B31" s="5" t="s">
        <v>3576</v>
      </c>
      <c r="C31" s="1028">
        <v>0.04</v>
      </c>
      <c r="D31" s="1034">
        <v>0.09</v>
      </c>
      <c r="E31" s="1034">
        <v>0.09</v>
      </c>
    </row>
    <row r="33" spans="1:14" x14ac:dyDescent="0.2">
      <c r="B33" s="5" t="s">
        <v>3577</v>
      </c>
      <c r="C33" s="32">
        <f>C29*C31</f>
        <v>0</v>
      </c>
      <c r="D33" s="32">
        <f>D29*D31</f>
        <v>0</v>
      </c>
      <c r="E33" s="32">
        <f>E29*E31</f>
        <v>0</v>
      </c>
    </row>
    <row r="35" spans="1:14" x14ac:dyDescent="0.2">
      <c r="B35" s="5" t="s">
        <v>3578</v>
      </c>
      <c r="C35" s="846">
        <f>'Project Details'!G42</f>
        <v>0</v>
      </c>
      <c r="D35" s="846">
        <f>'Project Details'!G43</f>
        <v>0</v>
      </c>
      <c r="E35" s="846">
        <f>'Project Details'!G44</f>
        <v>0</v>
      </c>
    </row>
    <row r="37" spans="1:14" x14ac:dyDescent="0.2">
      <c r="B37" s="5" t="s">
        <v>3741</v>
      </c>
      <c r="C37" s="200">
        <v>0</v>
      </c>
      <c r="D37" s="200">
        <v>0</v>
      </c>
      <c r="E37" s="200">
        <v>0</v>
      </c>
    </row>
    <row r="39" spans="1:14" x14ac:dyDescent="0.2">
      <c r="B39" s="5" t="s">
        <v>3672</v>
      </c>
      <c r="C39" s="32">
        <f>C33-C35-C37</f>
        <v>0</v>
      </c>
      <c r="D39" s="32">
        <f>D33-D35-D37</f>
        <v>0</v>
      </c>
      <c r="E39" s="32">
        <f>E33-E35-E37</f>
        <v>0</v>
      </c>
    </row>
    <row r="40" spans="1:14" x14ac:dyDescent="0.2">
      <c r="G40" s="1193" t="s">
        <v>4876</v>
      </c>
      <c r="H40" s="1193"/>
      <c r="I40" s="1193"/>
      <c r="J40" s="1193"/>
      <c r="K40" s="1193"/>
      <c r="L40" s="1193"/>
      <c r="M40" s="1193"/>
    </row>
    <row r="41" spans="1:14" ht="15" x14ac:dyDescent="0.25">
      <c r="B41" s="5" t="s">
        <v>3673</v>
      </c>
      <c r="C41" s="32">
        <f>SUM(C39:E39)</f>
        <v>0</v>
      </c>
      <c r="G41" s="1090" t="s">
        <v>3556</v>
      </c>
      <c r="H41" s="1091"/>
      <c r="I41" s="1092"/>
      <c r="J41" s="1090" t="s">
        <v>3903</v>
      </c>
      <c r="K41" s="1092"/>
      <c r="L41" s="1194" t="s">
        <v>3127</v>
      </c>
      <c r="M41" s="1194"/>
      <c r="N41" s="191"/>
    </row>
    <row r="42" spans="1:14" x14ac:dyDescent="0.2">
      <c r="G42" s="1197">
        <f>'Project Details'!C22</f>
        <v>0</v>
      </c>
      <c r="H42" s="1198"/>
      <c r="I42" s="1199"/>
      <c r="J42" s="1197" t="str">
        <f>IFERROR(VLOOKUP(G42,Data!$J$121:$K$129,2,FALSE),"-")</f>
        <v>-</v>
      </c>
      <c r="K42" s="1199"/>
      <c r="L42" s="1195">
        <f>'Budget &amp; Costs'!C45</f>
        <v>0</v>
      </c>
      <c r="M42" s="1195"/>
      <c r="N42" s="191"/>
    </row>
    <row r="43" spans="1:14" x14ac:dyDescent="0.2">
      <c r="B43" s="5" t="s">
        <v>3674</v>
      </c>
      <c r="C43" s="211">
        <v>0</v>
      </c>
      <c r="D43" s="749" t="s">
        <v>5132</v>
      </c>
    </row>
    <row r="45" spans="1:14" x14ac:dyDescent="0.2">
      <c r="B45" s="5" t="s">
        <v>3579</v>
      </c>
      <c r="C45" s="32">
        <f>C43*10</f>
        <v>0</v>
      </c>
    </row>
    <row r="47" spans="1:14" s="197" customFormat="1" ht="24.95" customHeight="1" x14ac:dyDescent="0.2">
      <c r="A47" s="740" t="s">
        <v>3583</v>
      </c>
      <c r="B47" s="187"/>
      <c r="C47" s="187"/>
      <c r="D47" s="187"/>
      <c r="E47" s="187"/>
      <c r="F47" s="187"/>
      <c r="G47" s="187"/>
      <c r="H47" s="187"/>
      <c r="I47" s="187"/>
      <c r="J47" s="187"/>
      <c r="K47" s="187"/>
      <c r="L47" s="187"/>
      <c r="M47" s="187"/>
      <c r="N47" s="187"/>
    </row>
    <row r="48" spans="1:14" x14ac:dyDescent="0.2">
      <c r="B48" s="5" t="s">
        <v>3584</v>
      </c>
      <c r="C48" s="200"/>
    </row>
    <row r="49" spans="1:14" x14ac:dyDescent="0.2">
      <c r="B49" s="5" t="s">
        <v>3585</v>
      </c>
      <c r="C49" s="200"/>
    </row>
    <row r="50" spans="1:14" x14ac:dyDescent="0.2">
      <c r="B50" s="5" t="s">
        <v>3588</v>
      </c>
      <c r="C50" s="200"/>
    </row>
    <row r="51" spans="1:14" x14ac:dyDescent="0.2">
      <c r="B51" s="5" t="s">
        <v>3586</v>
      </c>
      <c r="C51" s="200"/>
    </row>
    <row r="52" spans="1:14" x14ac:dyDescent="0.2">
      <c r="B52" s="5" t="s">
        <v>3587</v>
      </c>
      <c r="C52" s="200"/>
    </row>
    <row r="53" spans="1:14" x14ac:dyDescent="0.2">
      <c r="C53" s="44"/>
    </row>
    <row r="54" spans="1:14" x14ac:dyDescent="0.2">
      <c r="B54" s="5" t="s">
        <v>3589</v>
      </c>
      <c r="C54" s="30">
        <f>C48-C49-C50-C51-C52</f>
        <v>0</v>
      </c>
      <c r="D54" s="9" t="s">
        <v>3591</v>
      </c>
    </row>
    <row r="56" spans="1:14" x14ac:dyDescent="0.2">
      <c r="B56" s="5" t="s">
        <v>3590</v>
      </c>
      <c r="C56" s="144">
        <f>IFERROR(Cashflow!B20,0)</f>
        <v>0</v>
      </c>
    </row>
    <row r="58" spans="1:14" s="197" customFormat="1" ht="24.95" customHeight="1" x14ac:dyDescent="0.2">
      <c r="A58" s="740" t="s">
        <v>3599</v>
      </c>
      <c r="B58" s="187"/>
      <c r="C58" s="187"/>
      <c r="D58" s="187"/>
      <c r="E58" s="187"/>
      <c r="F58" s="187"/>
      <c r="G58" s="187"/>
      <c r="H58" s="187"/>
      <c r="I58" s="187"/>
      <c r="J58" s="187"/>
      <c r="K58" s="187"/>
      <c r="L58" s="187"/>
      <c r="M58" s="187"/>
      <c r="N58" s="187"/>
    </row>
    <row r="59" spans="1:14" x14ac:dyDescent="0.2">
      <c r="B59" s="5" t="s">
        <v>5114</v>
      </c>
      <c r="D59" s="750">
        <f>SUM('Budget &amp; Costs'!D69+'Budget &amp; Costs'!D70)</f>
        <v>0</v>
      </c>
    </row>
    <row r="60" spans="1:14" x14ac:dyDescent="0.2">
      <c r="B60" s="5" t="s">
        <v>5115</v>
      </c>
      <c r="D60" s="386">
        <f>SUM('Budget &amp; Costs'!D67+'Budget &amp; Costs'!D68+'Budget &amp; Costs'!D69+'Budget &amp; Costs'!D70)</f>
        <v>0</v>
      </c>
    </row>
    <row r="61" spans="1:14" x14ac:dyDescent="0.2">
      <c r="B61" s="5" t="s">
        <v>5116</v>
      </c>
      <c r="D61" s="386">
        <f>SUM('Budget &amp; Costs'!D66+'Budget &amp; Costs'!D67+'Budget &amp; Costs'!D68+'Budget &amp; Costs'!D69+'Budget &amp; Costs'!D70)</f>
        <v>0</v>
      </c>
    </row>
    <row r="62" spans="1:14" x14ac:dyDescent="0.2">
      <c r="B62" s="5" t="s">
        <v>5117</v>
      </c>
      <c r="D62" s="386">
        <f>SUM('Budget &amp; Costs'!D64+'Budget &amp; Costs'!D65+'Budget &amp; Costs'!D66+'Budget &amp; Costs'!D67+'Budget &amp; Costs'!D68+'Budget &amp; Costs'!D69+'Budget &amp; Costs'!D70)</f>
        <v>0</v>
      </c>
      <c r="E62" s="830" t="s">
        <v>5122</v>
      </c>
    </row>
    <row r="64" spans="1:14" x14ac:dyDescent="0.2">
      <c r="B64" s="5" t="s">
        <v>5118</v>
      </c>
      <c r="E64" s="385">
        <f>SUM('Budget &amp; Costs'!D78:D79)</f>
        <v>0</v>
      </c>
    </row>
    <row r="65" spans="2:18" x14ac:dyDescent="0.2">
      <c r="B65" s="5" t="s">
        <v>5119</v>
      </c>
      <c r="E65" s="385">
        <f>SUM('Budget &amp; Costs'!D76:D79)</f>
        <v>0</v>
      </c>
    </row>
    <row r="66" spans="2:18" x14ac:dyDescent="0.2">
      <c r="B66" s="5" t="s">
        <v>5120</v>
      </c>
      <c r="E66" s="385">
        <f>SUM('Budget &amp; Costs'!D75:D79)</f>
        <v>0</v>
      </c>
    </row>
    <row r="67" spans="2:18" x14ac:dyDescent="0.2">
      <c r="B67" s="5" t="s">
        <v>5121</v>
      </c>
      <c r="E67" s="385">
        <f>SUM('Budget &amp; Costs'!D73:D79)</f>
        <v>0</v>
      </c>
      <c r="F67" s="830" t="s">
        <v>5122</v>
      </c>
    </row>
    <row r="69" spans="2:18" x14ac:dyDescent="0.2">
      <c r="B69" s="5" t="s">
        <v>4224</v>
      </c>
      <c r="C69" s="1196"/>
      <c r="D69" s="1196"/>
      <c r="E69" s="1196"/>
      <c r="F69" s="1196"/>
      <c r="G69" s="1196"/>
      <c r="H69" s="1196"/>
      <c r="I69" s="1196"/>
      <c r="J69" s="92" t="str">
        <f>IFERROR(IF(AND('Budget &amp; Costs'!D52&gt;0,C69="Income Averaging *NEW*"),"WARNING: Income Averaging Mixed with Market Rate Units",""),"")</f>
        <v/>
      </c>
    </row>
    <row r="71" spans="2:18" x14ac:dyDescent="0.2">
      <c r="B71" s="5" t="s">
        <v>4395</v>
      </c>
      <c r="E71" s="1188"/>
      <c r="F71" s="1189"/>
      <c r="G71" s="1189"/>
      <c r="H71" s="1189"/>
      <c r="I71" s="1190"/>
      <c r="J71" s="92" t="str">
        <f>IF(AND(C69="Income Averaging *NEW*",E71="Separate Projects"),"Exception Required","")</f>
        <v/>
      </c>
    </row>
    <row r="73" spans="2:18" ht="18" customHeight="1" x14ac:dyDescent="0.2">
      <c r="B73" s="1185" t="s">
        <v>4396</v>
      </c>
      <c r="C73" s="1186"/>
      <c r="D73" s="1186"/>
      <c r="E73" s="1186"/>
      <c r="F73" s="1186"/>
      <c r="G73" s="1186"/>
      <c r="H73" s="1186"/>
      <c r="I73" s="1187"/>
      <c r="K73" s="20"/>
      <c r="L73" s="20"/>
      <c r="O73" s="5"/>
      <c r="P73" s="5"/>
      <c r="Q73" s="5"/>
      <c r="R73" s="5"/>
    </row>
    <row r="74" spans="2:18" ht="99.95" customHeight="1" x14ac:dyDescent="0.2">
      <c r="B74" s="1168"/>
      <c r="C74" s="1169"/>
      <c r="D74" s="1169"/>
      <c r="E74" s="1169"/>
      <c r="F74" s="1169"/>
      <c r="G74" s="1169"/>
      <c r="H74" s="1169"/>
      <c r="I74" s="1170"/>
      <c r="O74" s="5"/>
      <c r="P74" s="5"/>
      <c r="Q74" s="5"/>
      <c r="R74" s="5"/>
    </row>
  </sheetData>
  <sheetProtection algorithmName="SHA-512" hashValue="/NuZLsjT1+XOAmiYt5HYm7NRP7THlJRobeAoGXFBmhd19h1nU/A3v75W9AUETw/xzU6PBFZw+EjaXaZlgfTfpg==" saltValue="7iqWl53adbRWjsddR9BusA==" spinCount="100000" sheet="1" objects="1" scenarios="1"/>
  <mergeCells count="15">
    <mergeCell ref="B73:I73"/>
    <mergeCell ref="B74:I74"/>
    <mergeCell ref="E71:I71"/>
    <mergeCell ref="G19:H19"/>
    <mergeCell ref="G18:H18"/>
    <mergeCell ref="G25:H25"/>
    <mergeCell ref="G24:H24"/>
    <mergeCell ref="G41:I41"/>
    <mergeCell ref="G40:M40"/>
    <mergeCell ref="L41:M41"/>
    <mergeCell ref="L42:M42"/>
    <mergeCell ref="C69:I69"/>
    <mergeCell ref="G42:I42"/>
    <mergeCell ref="J41:K41"/>
    <mergeCell ref="J42:K42"/>
  </mergeCells>
  <dataValidations count="1">
    <dataValidation type="list" allowBlank="1" showInputMessage="1" showErrorMessage="1" sqref="E71:I71" xr:uid="{00000000-0002-0000-0500-000000000000}">
      <formula1>"N/A-not using AI,Separate Projects,Multi-Building,N/A - Only One Building"</formula1>
    </dataValidation>
  </dataValidations>
  <pageMargins left="0.7" right="0.7" top="0.75" bottom="0.75" header="0.3" footer="0.3"/>
  <pageSetup scale="42" orientation="portrait" r:id="rId1"/>
  <colBreaks count="1" manualBreakCount="1">
    <brk id="14" max="1048575" man="1"/>
  </colBreaks>
  <ignoredErrors>
    <ignoredError sqref="C35:E35" unlockedFormula="1"/>
    <ignoredError sqref="G22:H22 E23 C27 C29:E29 C33:E33 C39:E39 C41" evalError="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8BB9A2E7-C8B0-4D2E-AA75-00152D6B55A3}">
            <xm:f>IF('Project Details'!C20="9% Competitive",C43&gt;C41)</xm:f>
            <x14:dxf>
              <font>
                <b/>
                <i val="0"/>
                <strike val="0"/>
                <color rgb="FFFF0000"/>
              </font>
            </x14:dxf>
          </x14:cfRule>
          <xm:sqref>D43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Data!$J$28:$J$30</xm:f>
          </x14:formula1>
          <xm:sqref>C69:I69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sheetPr>
  <dimension ref="A1:AF166"/>
  <sheetViews>
    <sheetView topLeftCell="A49" zoomScale="85" zoomScaleNormal="85" workbookViewId="0">
      <selection activeCell="C106" sqref="C106"/>
    </sheetView>
  </sheetViews>
  <sheetFormatPr defaultColWidth="9" defaultRowHeight="14.25" x14ac:dyDescent="0.2"/>
  <cols>
    <col min="1" max="1" width="9" style="5"/>
    <col min="2" max="2" width="28.875" style="5" customWidth="1"/>
    <col min="3" max="3" width="23.75" style="5" customWidth="1"/>
    <col min="4" max="4" width="15.125" style="5" customWidth="1"/>
    <col min="5" max="5" width="16.25" style="5" customWidth="1"/>
    <col min="6" max="6" width="14" style="5" customWidth="1"/>
    <col min="7" max="7" width="14.625" style="5" customWidth="1"/>
    <col min="8" max="8" width="20.625" style="5" customWidth="1"/>
    <col min="9" max="9" width="15.125" style="5" bestFit="1" customWidth="1"/>
    <col min="10" max="10" width="20.25" style="5" customWidth="1"/>
    <col min="11" max="11" width="21.125" style="5" customWidth="1"/>
    <col min="12" max="12" width="17.125" style="5" customWidth="1"/>
    <col min="13" max="32" width="13" style="5" customWidth="1"/>
    <col min="33" max="33" width="12.375" style="191" bestFit="1" customWidth="1"/>
    <col min="34" max="16384" width="9" style="191"/>
  </cols>
  <sheetData>
    <row r="1" spans="1:32" ht="54.95" customHeight="1" x14ac:dyDescent="0.2"/>
    <row r="2" spans="1:32" s="192" customFormat="1" ht="22.5" x14ac:dyDescent="0.3">
      <c r="A2" s="3" t="s">
        <v>4</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s="193" customFormat="1" ht="15.75" x14ac:dyDescent="0.25">
      <c r="A3" s="4" t="s">
        <v>4297</v>
      </c>
      <c r="B3" s="38">
        <f>'Project Details'!C7</f>
        <v>0</v>
      </c>
      <c r="C3" s="38"/>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ht="15" x14ac:dyDescent="0.2">
      <c r="A4" s="649" t="s">
        <v>4061</v>
      </c>
    </row>
    <row r="5" spans="1:32" s="197" customFormat="1" ht="24.95" customHeight="1" x14ac:dyDescent="0.2">
      <c r="A5" s="740" t="s">
        <v>3729</v>
      </c>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row>
    <row r="6" spans="1:32" ht="14.25" customHeight="1" x14ac:dyDescent="0.2">
      <c r="B6" s="53" t="s">
        <v>3556</v>
      </c>
      <c r="C6" s="1069">
        <f>'Project Details'!C22</f>
        <v>0</v>
      </c>
      <c r="D6" s="1070"/>
      <c r="E6" s="1071"/>
    </row>
    <row r="7" spans="1:32" ht="14.25" customHeight="1" x14ac:dyDescent="0.2">
      <c r="B7" s="53" t="s">
        <v>3690</v>
      </c>
      <c r="C7" s="1203">
        <f>'Project Details'!C31</f>
        <v>0</v>
      </c>
      <c r="D7" s="1203"/>
    </row>
    <row r="8" spans="1:32" ht="14.25" customHeight="1" x14ac:dyDescent="0.2">
      <c r="B8" s="53" t="s">
        <v>3111</v>
      </c>
      <c r="C8" s="473">
        <f>'Project Details'!C27</f>
        <v>0</v>
      </c>
    </row>
    <row r="9" spans="1:32" ht="14.25" customHeight="1" x14ac:dyDescent="0.2">
      <c r="B9" s="53" t="s">
        <v>3140</v>
      </c>
      <c r="C9" s="472">
        <f>'Project Details'!C30</f>
        <v>0</v>
      </c>
    </row>
    <row r="10" spans="1:32" ht="14.25" customHeight="1" x14ac:dyDescent="0.2"/>
    <row r="11" spans="1:32" s="197" customFormat="1" ht="24.95" customHeight="1" x14ac:dyDescent="0.2">
      <c r="A11" s="740" t="s">
        <v>3675</v>
      </c>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row>
    <row r="12" spans="1:32" ht="15" customHeight="1" x14ac:dyDescent="0.25">
      <c r="B12" s="16" t="s">
        <v>3655</v>
      </c>
      <c r="C12" s="16" t="s">
        <v>3656</v>
      </c>
      <c r="D12" s="16" t="s">
        <v>3657</v>
      </c>
      <c r="E12" s="16" t="s">
        <v>3107</v>
      </c>
    </row>
    <row r="13" spans="1:32" ht="15" customHeight="1" x14ac:dyDescent="0.2">
      <c r="B13" s="32">
        <f>'Housing Credits'!C39</f>
        <v>0</v>
      </c>
      <c r="C13" s="32">
        <f>'Housing Credits'!D39</f>
        <v>0</v>
      </c>
      <c r="D13" s="32">
        <f>'Housing Credits'!E39</f>
        <v>0</v>
      </c>
      <c r="E13" s="32">
        <f>'Housing Credits'!C41</f>
        <v>0</v>
      </c>
    </row>
    <row r="14" spans="1:32" ht="24.75" customHeight="1" x14ac:dyDescent="0.2"/>
    <row r="15" spans="1:32" ht="15" x14ac:dyDescent="0.25">
      <c r="C15" s="16" t="s">
        <v>3669</v>
      </c>
      <c r="D15" s="16" t="s">
        <v>3670</v>
      </c>
      <c r="E15" s="16" t="s">
        <v>3671</v>
      </c>
    </row>
    <row r="16" spans="1:32" ht="15" x14ac:dyDescent="0.25">
      <c r="B16" s="16" t="s">
        <v>3658</v>
      </c>
      <c r="C16" s="32">
        <f>E13*10</f>
        <v>0</v>
      </c>
      <c r="D16" s="32">
        <f>C16*E16</f>
        <v>0</v>
      </c>
      <c r="E16" s="214">
        <f>'Development Team'!D43</f>
        <v>1</v>
      </c>
    </row>
    <row r="17" spans="1:32" ht="15" x14ac:dyDescent="0.25">
      <c r="B17" s="16" t="s">
        <v>3668</v>
      </c>
      <c r="C17" s="32">
        <f>'Housing Credits'!C45</f>
        <v>0</v>
      </c>
      <c r="D17" s="32">
        <f>C17*E17</f>
        <v>0</v>
      </c>
      <c r="E17" s="52">
        <f>'Development Team'!D43</f>
        <v>1</v>
      </c>
    </row>
    <row r="18" spans="1:32" ht="27" customHeight="1" x14ac:dyDescent="0.2"/>
    <row r="19" spans="1:32" ht="15" x14ac:dyDescent="0.25">
      <c r="B19" s="16" t="s">
        <v>3666</v>
      </c>
      <c r="C19" s="16" t="s">
        <v>3667</v>
      </c>
    </row>
    <row r="20" spans="1:32" x14ac:dyDescent="0.2">
      <c r="B20" s="215" t="e">
        <f>C20/D17</f>
        <v>#DIV/0!</v>
      </c>
      <c r="C20" s="32">
        <f>'Budget &amp; Costs'!G238</f>
        <v>0</v>
      </c>
    </row>
    <row r="22" spans="1:32" s="197" customFormat="1" ht="24.95" customHeight="1" x14ac:dyDescent="0.2">
      <c r="A22" s="740" t="s">
        <v>4855</v>
      </c>
      <c r="B22" s="187"/>
      <c r="C22" s="187"/>
      <c r="D22" s="187"/>
      <c r="E22" s="187"/>
      <c r="F22" s="187"/>
      <c r="G22" s="187"/>
      <c r="H22" s="740"/>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row>
    <row r="23" spans="1:32" ht="15" x14ac:dyDescent="0.25">
      <c r="B23" s="16" t="s">
        <v>3327</v>
      </c>
      <c r="C23" s="16" t="s">
        <v>3328</v>
      </c>
      <c r="D23" s="16" t="s">
        <v>3333</v>
      </c>
      <c r="E23" s="16" t="s">
        <v>3335</v>
      </c>
      <c r="F23" s="16" t="s">
        <v>3659</v>
      </c>
      <c r="G23" s="16" t="s">
        <v>3660</v>
      </c>
      <c r="I23" s="37" t="s">
        <v>3662</v>
      </c>
      <c r="J23" s="216">
        <f>'Budget &amp; Costs'!S408</f>
        <v>0</v>
      </c>
      <c r="K23" s="37" t="str">
        <f>C29</f>
        <v>N/A</v>
      </c>
      <c r="L23" s="217">
        <f>IFERROR(IF(D29="",0,IF(D29&gt;0,-PMT(($E29/12),($F29*12),$D29)*12,0)),0)</f>
        <v>0</v>
      </c>
      <c r="M23" s="5" t="s">
        <v>4049</v>
      </c>
    </row>
    <row r="24" spans="1:32" x14ac:dyDescent="0.2">
      <c r="B24" s="218" t="str">
        <f>'Budget &amp; Costs'!C238</f>
        <v>Tax Credit Equity</v>
      </c>
      <c r="C24" s="219" t="str">
        <f>IF('Budget &amp; Costs'!E238="","N/A",'Budget &amp; Costs'!E238)</f>
        <v>N/A</v>
      </c>
      <c r="D24" s="216">
        <f>'Budget &amp; Costs'!G238</f>
        <v>0</v>
      </c>
      <c r="E24" s="220">
        <f>IF('Budget &amp; Costs'!H238="",0.00000000001,'Budget &amp; Costs'!H238)</f>
        <v>9.9999999999999994E-12</v>
      </c>
      <c r="F24" s="219" t="str">
        <f>IF(OR('Budget &amp; Costs'!K238="",'Budget &amp; Costs'!K238=0),"",'Budget &amp; Costs'!K238)</f>
        <v/>
      </c>
      <c r="G24" s="221">
        <f>IF(D24="",0,IF(D24&gt;0,(D24/$D$36),0))</f>
        <v>0</v>
      </c>
      <c r="I24" s="37" t="s">
        <v>3660</v>
      </c>
      <c r="J24" s="221" t="e">
        <f>J23/D36</f>
        <v>#DIV/0!</v>
      </c>
      <c r="K24" s="37" t="str">
        <f>C30</f>
        <v>N/A</v>
      </c>
      <c r="L24" s="217">
        <f>IFERROR(IF(D30="",0,IF(D30&gt;0,-PMT(($E30/12),($F30*12),$D30)*12,0)),0)</f>
        <v>0</v>
      </c>
      <c r="M24" s="5" t="s">
        <v>4050</v>
      </c>
    </row>
    <row r="25" spans="1:32" x14ac:dyDescent="0.2">
      <c r="B25" s="218" t="str">
        <f>'Budget &amp; Costs'!C239</f>
        <v>HDAP: OHTF or HOME</v>
      </c>
      <c r="C25" s="219" t="str">
        <f>IF('Budget &amp; Costs'!E239="","N/A",'Budget &amp; Costs'!E239)</f>
        <v>HDAP: OHTF or HOME</v>
      </c>
      <c r="D25" s="216">
        <f>'Budget &amp; Costs'!G239</f>
        <v>0</v>
      </c>
      <c r="E25" s="220">
        <f>IF('Budget &amp; Costs'!H239="",0.00000000001,'Budget &amp; Costs'!H239)</f>
        <v>0.02</v>
      </c>
      <c r="F25" s="219" t="str">
        <f>IF(OR('Budget &amp; Costs'!K239="",'Budget &amp; Costs'!K239=0),"",'Budget &amp; Costs'!K239)</f>
        <v/>
      </c>
      <c r="G25" s="221">
        <f t="shared" ref="G25:G35" si="0">IF(D25="",0,IF(D25&gt;0,(D25/$D$36),0))</f>
        <v>0</v>
      </c>
      <c r="I25" s="37" t="s">
        <v>3663</v>
      </c>
      <c r="J25" s="616">
        <f>'Budget &amp; Costs'!L322</f>
        <v>0</v>
      </c>
      <c r="K25" s="37" t="str">
        <f>B28</f>
        <v>Deferred Developer Fee</v>
      </c>
      <c r="L25" s="217">
        <f>IFERROR(IF(D28="",0,IF(D28&gt;0,-PMT(($E28/12),($F28*12),$D28)*12,0)),0)</f>
        <v>0</v>
      </c>
      <c r="N25" s="222"/>
    </row>
    <row r="26" spans="1:32" x14ac:dyDescent="0.2">
      <c r="B26" s="218" t="str">
        <f>'Budget &amp; Costs'!C240</f>
        <v>HDAP: NHTF</v>
      </c>
      <c r="C26" s="219" t="str">
        <f>IF('Budget &amp; Costs'!E240="","N/A",'Budget &amp; Costs'!E240)</f>
        <v>HDAP: NHTF</v>
      </c>
      <c r="D26" s="216">
        <f>'Budget &amp; Costs'!G240</f>
        <v>0</v>
      </c>
      <c r="E26" s="220">
        <f>IF('Budget &amp; Costs'!H240="",0.00000000001,'Budget &amp; Costs'!H240)</f>
        <v>0</v>
      </c>
      <c r="F26" s="219" t="str">
        <f>IF(OR('Budget &amp; Costs'!K240="",'Budget &amp; Costs'!K240=0),"",'Budget &amp; Costs'!K240)</f>
        <v/>
      </c>
      <c r="G26" s="221">
        <f t="shared" si="0"/>
        <v>0</v>
      </c>
      <c r="I26" s="37" t="s">
        <v>3664</v>
      </c>
      <c r="J26" s="374">
        <f>(C89+C92+C96+C97)/12*4</f>
        <v>0</v>
      </c>
      <c r="K26" s="37" t="str">
        <f>C25</f>
        <v>HDAP: OHTF or HOME</v>
      </c>
      <c r="L26" s="217">
        <f>IFERROR(IF(D25="",0,IF(D25&gt;0,-PMT(($E25/12),($F25*12),$D25)*12,0)),0)</f>
        <v>0</v>
      </c>
      <c r="N26" s="222"/>
    </row>
    <row r="27" spans="1:32" x14ac:dyDescent="0.2">
      <c r="B27" s="218" t="str">
        <f>'Budget &amp; Costs'!C241</f>
        <v>Historic Tax Credit Equity</v>
      </c>
      <c r="C27" s="219" t="str">
        <f>IF('Budget &amp; Costs'!E241="","N/A",'Budget &amp; Costs'!E241)</f>
        <v>N/A</v>
      </c>
      <c r="D27" s="216">
        <f>'Budget &amp; Costs'!G241</f>
        <v>0</v>
      </c>
      <c r="E27" s="220">
        <f>IF('Budget &amp; Costs'!H241="",0.00000000001,'Budget &amp; Costs'!H241)</f>
        <v>0</v>
      </c>
      <c r="F27" s="219" t="str">
        <f>IF(OR('Budget &amp; Costs'!K241="",'Budget &amp; Costs'!K241=0),"",'Budget &amp; Costs'!K241)</f>
        <v/>
      </c>
      <c r="G27" s="221">
        <f t="shared" si="0"/>
        <v>0</v>
      </c>
      <c r="I27" s="37" t="s">
        <v>3665</v>
      </c>
      <c r="J27" s="374">
        <f>(C89+C92+C96+C97)/12*12</f>
        <v>0</v>
      </c>
      <c r="K27" s="37" t="str">
        <f>C26</f>
        <v>HDAP: NHTF</v>
      </c>
      <c r="L27" s="217">
        <f>IFERROR(IF(D26="",0,IF(D26&gt;0,-PMT(($E26/12),($F26*12),$D26)*12,0)),0)</f>
        <v>0</v>
      </c>
    </row>
    <row r="28" spans="1:32" x14ac:dyDescent="0.2">
      <c r="B28" s="218" t="str">
        <f>'Budget &amp; Costs'!C242</f>
        <v>Deferred Developer Fee</v>
      </c>
      <c r="C28" s="219" t="str">
        <f>IF('Budget &amp; Costs'!E242="","N/A",'Budget &amp; Costs'!E242)</f>
        <v>N/A</v>
      </c>
      <c r="D28" s="216">
        <f>'Budget &amp; Costs'!G242</f>
        <v>0</v>
      </c>
      <c r="E28" s="220">
        <f>IF('Budget &amp; Costs'!H242="",0.00000000001,'Budget &amp; Costs'!H242)</f>
        <v>0</v>
      </c>
      <c r="F28" s="219">
        <f>IF(OR('Budget &amp; Costs'!K242="",'Budget &amp; Costs'!K242=0),15,'Budget &amp; Costs'!K242)</f>
        <v>15</v>
      </c>
      <c r="G28" s="221">
        <f t="shared" si="0"/>
        <v>0</v>
      </c>
      <c r="K28" s="37" t="str">
        <f>C31</f>
        <v>N/A</v>
      </c>
      <c r="L28" s="217">
        <f>IFERROR(IF(D31="",0,IF(D31&gt;0,-PMT(($E31/12),($F31*12),$D31)*12,0)),0)</f>
        <v>0</v>
      </c>
      <c r="M28" s="5" t="s">
        <v>3303</v>
      </c>
      <c r="P28" s="222"/>
    </row>
    <row r="29" spans="1:32" x14ac:dyDescent="0.2">
      <c r="B29" s="218" t="str">
        <f>'Budget &amp; Costs'!C243</f>
        <v>Permanent First Loan, Hard Debt</v>
      </c>
      <c r="C29" s="219" t="str">
        <f>IF('Budget &amp; Costs'!E243="","N/A",'Budget &amp; Costs'!E243)</f>
        <v>N/A</v>
      </c>
      <c r="D29" s="216">
        <f>'Budget &amp; Costs'!G243</f>
        <v>0</v>
      </c>
      <c r="E29" s="220">
        <f>IF('Budget &amp; Costs'!H243="",0.00000000001,'Budget &amp; Costs'!H243)</f>
        <v>0.06</v>
      </c>
      <c r="F29" s="219" t="str">
        <f>IF(OR('Budget &amp; Costs'!K243="",'Budget &amp; Costs'!K243=0),"",'Budget &amp; Costs'!K243)</f>
        <v/>
      </c>
      <c r="G29" s="221">
        <f t="shared" si="0"/>
        <v>0</v>
      </c>
      <c r="I29" s="37" t="s">
        <v>3681</v>
      </c>
      <c r="J29" s="221">
        <v>0.02</v>
      </c>
      <c r="K29" s="37" t="str">
        <f>C32</f>
        <v>N/A</v>
      </c>
      <c r="L29" s="217">
        <f>IFERROR(IF(D32="",0,IF(D32&gt;0,-PMT(($E32/12),($F32*12),$D32)*12,0)),0)</f>
        <v>0</v>
      </c>
      <c r="M29" s="5" t="s">
        <v>3304</v>
      </c>
    </row>
    <row r="30" spans="1:32" x14ac:dyDescent="0.2">
      <c r="B30" s="218" t="str">
        <f>'Budget &amp; Costs'!C244</f>
        <v>Permanent Second Loan</v>
      </c>
      <c r="C30" s="219" t="str">
        <f>IF('Budget &amp; Costs'!E244="","N/A",'Budget &amp; Costs'!E244)</f>
        <v>N/A</v>
      </c>
      <c r="D30" s="216">
        <f>'Budget &amp; Costs'!G244</f>
        <v>0</v>
      </c>
      <c r="E30" s="220">
        <f>IF('Budget &amp; Costs'!H244="",0.00000000001,'Budget &amp; Costs'!H244)</f>
        <v>0</v>
      </c>
      <c r="F30" s="219" t="str">
        <f>IF(OR('Budget &amp; Costs'!K244="",'Budget &amp; Costs'!K244=0),"",'Budget &amp; Costs'!K244)</f>
        <v/>
      </c>
      <c r="G30" s="221">
        <f t="shared" si="0"/>
        <v>0</v>
      </c>
      <c r="I30" s="37" t="s">
        <v>3682</v>
      </c>
      <c r="J30" s="221">
        <v>0.03</v>
      </c>
      <c r="K30" s="37" t="str">
        <f>C33</f>
        <v>N/A</v>
      </c>
      <c r="L30" s="217">
        <f>IFERROR(IF(D33="",0,IF(D33&gt;0,-PMT(($E33/12),($F33*12),$D33)*12,0)),0)</f>
        <v>0</v>
      </c>
      <c r="M30" s="5" t="s">
        <v>3306</v>
      </c>
    </row>
    <row r="31" spans="1:32" x14ac:dyDescent="0.2">
      <c r="B31" s="218" t="str">
        <f>'Budget &amp; Costs'!C245</f>
        <v>Other 1</v>
      </c>
      <c r="C31" s="219" t="str">
        <f>IF('Budget &amp; Costs'!E245="","N/A",'Budget &amp; Costs'!E245)</f>
        <v>N/A</v>
      </c>
      <c r="D31" s="216">
        <f>'Budget &amp; Costs'!G245</f>
        <v>0</v>
      </c>
      <c r="E31" s="220">
        <f>IF('Budget &amp; Costs'!H245="",0.00000000001,'Budget &amp; Costs'!H245)</f>
        <v>0</v>
      </c>
      <c r="F31" s="219" t="str">
        <f>IF(OR('Budget &amp; Costs'!K245="",'Budget &amp; Costs'!K245=0),"",'Budget &amp; Costs'!K245)</f>
        <v/>
      </c>
      <c r="G31" s="221">
        <f t="shared" si="0"/>
        <v>0</v>
      </c>
      <c r="I31" s="37" t="s">
        <v>3683</v>
      </c>
      <c r="J31" s="221">
        <f>'Budget &amp; Costs'!E82</f>
        <v>7.0000000000000007E-2</v>
      </c>
      <c r="K31" s="37" t="str">
        <f>C34</f>
        <v>N/A</v>
      </c>
      <c r="L31" s="217">
        <f>IFERROR(IF(D34="",0,IF(D34&gt;0,-PMT(($E34/12),($F34*12),$D34)*12,0)),0)</f>
        <v>0</v>
      </c>
      <c r="M31" s="5" t="s">
        <v>3542</v>
      </c>
    </row>
    <row r="32" spans="1:32" x14ac:dyDescent="0.2">
      <c r="B32" s="218" t="str">
        <f>'Budget &amp; Costs'!C246</f>
        <v>Other 2</v>
      </c>
      <c r="C32" s="219" t="str">
        <f>IF('Budget &amp; Costs'!E246="","N/A",'Budget &amp; Costs'!E246)</f>
        <v>N/A</v>
      </c>
      <c r="D32" s="216">
        <f>'Budget &amp; Costs'!G246</f>
        <v>0</v>
      </c>
      <c r="E32" s="220">
        <f>IF('Budget &amp; Costs'!H246="",0.00000000001,'Budget &amp; Costs'!H246)</f>
        <v>0</v>
      </c>
      <c r="F32" s="219" t="str">
        <f>IF(OR('Budget &amp; Costs'!K246="",'Budget &amp; Costs'!K246=0),"",'Budget &amp; Costs'!K246)</f>
        <v/>
      </c>
      <c r="G32" s="221">
        <f t="shared" si="0"/>
        <v>0</v>
      </c>
      <c r="K32" s="37" t="str">
        <f>C35</f>
        <v>N/A</v>
      </c>
      <c r="L32" s="217">
        <f>IFERROR(IF(D35="",0,IF(D35&gt;0,-PMT(($E35/12),($F35*12),$D35)*12,0)),0)</f>
        <v>0</v>
      </c>
      <c r="M32" s="5" t="s">
        <v>4051</v>
      </c>
    </row>
    <row r="33" spans="1:32" x14ac:dyDescent="0.2">
      <c r="B33" s="219" t="str">
        <f>'Budget &amp; Costs'!C247</f>
        <v>Other 3</v>
      </c>
      <c r="C33" s="219" t="str">
        <f>IF('Budget &amp; Costs'!E247="","N/A",'Budget &amp; Costs'!E247)</f>
        <v>N/A</v>
      </c>
      <c r="D33" s="216">
        <f>'Budget &amp; Costs'!G247</f>
        <v>0</v>
      </c>
      <c r="E33" s="220">
        <f>IF('Budget &amp; Costs'!H247="",0.00000000001,'Budget &amp; Costs'!H247)</f>
        <v>0</v>
      </c>
      <c r="F33" s="219" t="str">
        <f>IF(OR('Budget &amp; Costs'!K247="",'Budget &amp; Costs'!K247=0),"",'Budget &amp; Costs'!K247)</f>
        <v/>
      </c>
      <c r="G33" s="221">
        <f t="shared" si="0"/>
        <v>0</v>
      </c>
      <c r="I33" s="37" t="s">
        <v>3688</v>
      </c>
      <c r="J33" s="616">
        <f>'Budget &amp; Costs'!F178</f>
        <v>0</v>
      </c>
    </row>
    <row r="34" spans="1:32" x14ac:dyDescent="0.2">
      <c r="B34" s="219" t="str">
        <f>'Budget &amp; Costs'!C248</f>
        <v>Other 4</v>
      </c>
      <c r="C34" s="219" t="str">
        <f>IF('Budget &amp; Costs'!E248="","N/A",'Budget &amp; Costs'!E248)</f>
        <v>N/A</v>
      </c>
      <c r="D34" s="216">
        <f>'Budget &amp; Costs'!G248</f>
        <v>0</v>
      </c>
      <c r="E34" s="220">
        <f>IF('Budget &amp; Costs'!H248="",0.00000000001,'Budget &amp; Costs'!H248)</f>
        <v>0</v>
      </c>
      <c r="F34" s="219" t="str">
        <f>IF(OR('Budget &amp; Costs'!K248="",'Budget &amp; Costs'!K248=0),"",'Budget &amp; Costs'!K248)</f>
        <v/>
      </c>
      <c r="G34" s="221">
        <f t="shared" si="0"/>
        <v>0</v>
      </c>
      <c r="I34" s="37" t="s">
        <v>3689</v>
      </c>
      <c r="J34" s="616" t="e">
        <f>'Budget &amp; Costs'!G178</f>
        <v>#DIV/0!</v>
      </c>
    </row>
    <row r="35" spans="1:32" x14ac:dyDescent="0.2">
      <c r="B35" s="219" t="str">
        <f>'Budget &amp; Costs'!C249</f>
        <v>Other 5</v>
      </c>
      <c r="C35" s="219" t="str">
        <f>IF('Budget &amp; Costs'!E249="","N/A",'Budget &amp; Costs'!E249)</f>
        <v>N/A</v>
      </c>
      <c r="D35" s="216">
        <f>'Budget &amp; Costs'!G249</f>
        <v>0</v>
      </c>
      <c r="E35" s="220">
        <f>IF('Budget &amp; Costs'!H249="",0.00000000001,'Budget &amp; Costs'!H249)</f>
        <v>0</v>
      </c>
      <c r="F35" s="219" t="str">
        <f>IF(OR('Budget &amp; Costs'!K249="",'Budget &amp; Costs'!K249=0),"",'Budget &amp; Costs'!K249)</f>
        <v/>
      </c>
      <c r="G35" s="221">
        <f t="shared" si="0"/>
        <v>0</v>
      </c>
      <c r="I35" s="37" t="s">
        <v>3684</v>
      </c>
      <c r="J35" s="616">
        <f>'Budget &amp; Costs'!F172</f>
        <v>0</v>
      </c>
    </row>
    <row r="36" spans="1:32" ht="15" x14ac:dyDescent="0.25">
      <c r="C36" s="11" t="s">
        <v>3105</v>
      </c>
      <c r="D36" s="223">
        <f>SUM(D24:D35)</f>
        <v>0</v>
      </c>
      <c r="G36" s="224">
        <f>SUM(G24:G35)</f>
        <v>0</v>
      </c>
      <c r="I36" s="37" t="s">
        <v>3685</v>
      </c>
      <c r="J36" s="616" t="e">
        <f>'Budget &amp; Costs'!G172</f>
        <v>#DIV/0!</v>
      </c>
    </row>
    <row r="38" spans="1:32" s="197" customFormat="1" ht="24.95" customHeight="1" x14ac:dyDescent="0.2">
      <c r="A38" s="740" t="s">
        <v>3676</v>
      </c>
      <c r="B38" s="187"/>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row>
    <row r="39" spans="1:32" ht="30" x14ac:dyDescent="0.25">
      <c r="B39" s="23" t="s">
        <v>3106</v>
      </c>
      <c r="C39" s="23" t="s">
        <v>3677</v>
      </c>
      <c r="D39" s="23" t="s">
        <v>3176</v>
      </c>
      <c r="E39" s="23" t="s">
        <v>3177</v>
      </c>
      <c r="F39" s="23" t="s">
        <v>3209</v>
      </c>
      <c r="G39" s="23" t="s">
        <v>3678</v>
      </c>
      <c r="H39" s="23" t="s">
        <v>3212</v>
      </c>
      <c r="I39" s="23" t="s">
        <v>3679</v>
      </c>
      <c r="J39" s="23" t="s">
        <v>3680</v>
      </c>
    </row>
    <row r="40" spans="1:32" x14ac:dyDescent="0.2">
      <c r="B40" s="10">
        <f>'Budget &amp; Costs'!C9</f>
        <v>0</v>
      </c>
      <c r="C40" s="10">
        <f>'Budget &amp; Costs'!D9</f>
        <v>0</v>
      </c>
      <c r="D40" s="32">
        <f>'Budget &amp; Costs'!I9</f>
        <v>0</v>
      </c>
      <c r="E40" s="32">
        <f>'Budget &amp; Costs'!J9</f>
        <v>0</v>
      </c>
      <c r="F40" s="32">
        <f>'Budget &amp; Costs'!M9</f>
        <v>0</v>
      </c>
      <c r="G40" s="32">
        <f>'Budget &amp; Costs'!O9</f>
        <v>0</v>
      </c>
      <c r="H40" s="32">
        <f>'Budget &amp; Costs'!P9</f>
        <v>0</v>
      </c>
      <c r="I40" s="225">
        <f>'Budget &amp; Costs'!G9</f>
        <v>0</v>
      </c>
      <c r="J40" s="32">
        <f>'Budget &amp; Costs'!L9</f>
        <v>0</v>
      </c>
    </row>
    <row r="41" spans="1:32" x14ac:dyDescent="0.2">
      <c r="B41" s="10">
        <f>'Budget &amp; Costs'!C10</f>
        <v>0</v>
      </c>
      <c r="C41" s="10">
        <f>'Budget &amp; Costs'!D10</f>
        <v>0</v>
      </c>
      <c r="D41" s="32">
        <f>'Budget &amp; Costs'!I10</f>
        <v>0</v>
      </c>
      <c r="E41" s="32">
        <f>'Budget &amp; Costs'!J10</f>
        <v>0</v>
      </c>
      <c r="F41" s="32">
        <f>'Budget &amp; Costs'!M10</f>
        <v>0</v>
      </c>
      <c r="G41" s="32">
        <f>'Budget &amp; Costs'!O10</f>
        <v>0</v>
      </c>
      <c r="H41" s="32">
        <f>'Budget &amp; Costs'!P10</f>
        <v>0</v>
      </c>
      <c r="I41" s="225">
        <f>'Budget &amp; Costs'!G10</f>
        <v>0</v>
      </c>
      <c r="J41" s="32">
        <f>'Budget &amp; Costs'!L10</f>
        <v>0</v>
      </c>
    </row>
    <row r="42" spans="1:32" x14ac:dyDescent="0.2">
      <c r="B42" s="10">
        <f>'Budget &amp; Costs'!C11</f>
        <v>0</v>
      </c>
      <c r="C42" s="10">
        <f>'Budget &amp; Costs'!D11</f>
        <v>0</v>
      </c>
      <c r="D42" s="32">
        <f>'Budget &amp; Costs'!I11</f>
        <v>0</v>
      </c>
      <c r="E42" s="32">
        <f>'Budget &amp; Costs'!J11</f>
        <v>0</v>
      </c>
      <c r="F42" s="32">
        <f>'Budget &amp; Costs'!M11</f>
        <v>0</v>
      </c>
      <c r="G42" s="32">
        <f>'Budget &amp; Costs'!O11</f>
        <v>0</v>
      </c>
      <c r="H42" s="32">
        <f>'Budget &amp; Costs'!P11</f>
        <v>0</v>
      </c>
      <c r="I42" s="225">
        <f>'Budget &amp; Costs'!G11</f>
        <v>0</v>
      </c>
      <c r="J42" s="32">
        <f>'Budget &amp; Costs'!L11</f>
        <v>0</v>
      </c>
    </row>
    <row r="43" spans="1:32" x14ac:dyDescent="0.2">
      <c r="B43" s="10">
        <f>'Budget &amp; Costs'!C12</f>
        <v>0</v>
      </c>
      <c r="C43" s="10">
        <f>'Budget &amp; Costs'!D12</f>
        <v>0</v>
      </c>
      <c r="D43" s="32">
        <f>'Budget &amp; Costs'!I12</f>
        <v>0</v>
      </c>
      <c r="E43" s="32">
        <f>'Budget &amp; Costs'!J12</f>
        <v>0</v>
      </c>
      <c r="F43" s="32">
        <f>'Budget &amp; Costs'!M12</f>
        <v>0</v>
      </c>
      <c r="G43" s="32">
        <f>'Budget &amp; Costs'!O12</f>
        <v>0</v>
      </c>
      <c r="H43" s="32">
        <f>'Budget &amp; Costs'!P12</f>
        <v>0</v>
      </c>
      <c r="I43" s="225">
        <f>'Budget &amp; Costs'!G12</f>
        <v>0</v>
      </c>
      <c r="J43" s="32">
        <f>'Budget &amp; Costs'!L12</f>
        <v>0</v>
      </c>
    </row>
    <row r="44" spans="1:32" x14ac:dyDescent="0.2">
      <c r="B44" s="10">
        <f>'Budget &amp; Costs'!C13</f>
        <v>0</v>
      </c>
      <c r="C44" s="10">
        <f>'Budget &amp; Costs'!D13</f>
        <v>0</v>
      </c>
      <c r="D44" s="32">
        <f>'Budget &amp; Costs'!I13</f>
        <v>0</v>
      </c>
      <c r="E44" s="32">
        <f>'Budget &amp; Costs'!J13</f>
        <v>0</v>
      </c>
      <c r="F44" s="32">
        <f>'Budget &amp; Costs'!M13</f>
        <v>0</v>
      </c>
      <c r="G44" s="32">
        <f>'Budget &amp; Costs'!O13</f>
        <v>0</v>
      </c>
      <c r="H44" s="32">
        <f>'Budget &amp; Costs'!P13</f>
        <v>0</v>
      </c>
      <c r="I44" s="225">
        <f>'Budget &amp; Costs'!G13</f>
        <v>0</v>
      </c>
      <c r="J44" s="32">
        <f>'Budget &amp; Costs'!L13</f>
        <v>0</v>
      </c>
    </row>
    <row r="45" spans="1:32" x14ac:dyDescent="0.2">
      <c r="B45" s="10">
        <f>'Budget &amp; Costs'!C14</f>
        <v>0</v>
      </c>
      <c r="C45" s="10">
        <f>'Budget &amp; Costs'!D14</f>
        <v>0</v>
      </c>
      <c r="D45" s="32">
        <f>'Budget &amp; Costs'!I14</f>
        <v>0</v>
      </c>
      <c r="E45" s="32">
        <f>'Budget &amp; Costs'!J14</f>
        <v>0</v>
      </c>
      <c r="F45" s="32">
        <f>'Budget &amp; Costs'!M14</f>
        <v>0</v>
      </c>
      <c r="G45" s="32">
        <f>'Budget &amp; Costs'!O14</f>
        <v>0</v>
      </c>
      <c r="H45" s="32">
        <f>'Budget &amp; Costs'!P14</f>
        <v>0</v>
      </c>
      <c r="I45" s="225">
        <f>'Budget &amp; Costs'!G14</f>
        <v>0</v>
      </c>
      <c r="J45" s="32">
        <f>'Budget &amp; Costs'!L14</f>
        <v>0</v>
      </c>
    </row>
    <row r="46" spans="1:32" x14ac:dyDescent="0.2">
      <c r="B46" s="10">
        <f>'Budget &amp; Costs'!C15</f>
        <v>0</v>
      </c>
      <c r="C46" s="10">
        <f>'Budget &amp; Costs'!D15</f>
        <v>0</v>
      </c>
      <c r="D46" s="32">
        <f>'Budget &amp; Costs'!I15</f>
        <v>0</v>
      </c>
      <c r="E46" s="32">
        <f>'Budget &amp; Costs'!J15</f>
        <v>0</v>
      </c>
      <c r="F46" s="32">
        <f>'Budget &amp; Costs'!M15</f>
        <v>0</v>
      </c>
      <c r="G46" s="32">
        <f>'Budget &amp; Costs'!O15</f>
        <v>0</v>
      </c>
      <c r="H46" s="32">
        <f>'Budget &amp; Costs'!P15</f>
        <v>0</v>
      </c>
      <c r="I46" s="225">
        <f>'Budget &amp; Costs'!G15</f>
        <v>0</v>
      </c>
      <c r="J46" s="32">
        <f>'Budget &amp; Costs'!L15</f>
        <v>0</v>
      </c>
    </row>
    <row r="47" spans="1:32" x14ac:dyDescent="0.2">
      <c r="B47" s="10">
        <f>'Budget &amp; Costs'!C16</f>
        <v>0</v>
      </c>
      <c r="C47" s="10">
        <f>'Budget &amp; Costs'!D16</f>
        <v>0</v>
      </c>
      <c r="D47" s="32">
        <f>'Budget &amp; Costs'!I16</f>
        <v>0</v>
      </c>
      <c r="E47" s="32">
        <f>'Budget &amp; Costs'!J16</f>
        <v>0</v>
      </c>
      <c r="F47" s="32">
        <f>'Budget &amp; Costs'!M16</f>
        <v>0</v>
      </c>
      <c r="G47" s="32">
        <f>'Budget &amp; Costs'!O16</f>
        <v>0</v>
      </c>
      <c r="H47" s="32">
        <f>'Budget &amp; Costs'!P16</f>
        <v>0</v>
      </c>
      <c r="I47" s="225">
        <f>'Budget &amp; Costs'!G16</f>
        <v>0</v>
      </c>
      <c r="J47" s="32">
        <f>'Budget &amp; Costs'!L16</f>
        <v>0</v>
      </c>
    </row>
    <row r="48" spans="1:32" x14ac:dyDescent="0.2">
      <c r="B48" s="10">
        <f>'Budget &amp; Costs'!C17</f>
        <v>0</v>
      </c>
      <c r="C48" s="10">
        <f>'Budget &amp; Costs'!D17</f>
        <v>0</v>
      </c>
      <c r="D48" s="32">
        <f>'Budget &amp; Costs'!I17</f>
        <v>0</v>
      </c>
      <c r="E48" s="32">
        <f>'Budget &amp; Costs'!J17</f>
        <v>0</v>
      </c>
      <c r="F48" s="32">
        <f>'Budget &amp; Costs'!M17</f>
        <v>0</v>
      </c>
      <c r="G48" s="32">
        <f>'Budget &amp; Costs'!O17</f>
        <v>0</v>
      </c>
      <c r="H48" s="32">
        <f>'Budget &amp; Costs'!P17</f>
        <v>0</v>
      </c>
      <c r="I48" s="225">
        <f>'Budget &amp; Costs'!G17</f>
        <v>0</v>
      </c>
      <c r="J48" s="32">
        <f>'Budget &amp; Costs'!L17</f>
        <v>0</v>
      </c>
    </row>
    <row r="49" spans="2:10" x14ac:dyDescent="0.2">
      <c r="B49" s="10">
        <f>'Budget &amp; Costs'!C18</f>
        <v>0</v>
      </c>
      <c r="C49" s="10">
        <f>'Budget &amp; Costs'!D18</f>
        <v>0</v>
      </c>
      <c r="D49" s="32">
        <f>'Budget &amp; Costs'!I18</f>
        <v>0</v>
      </c>
      <c r="E49" s="32">
        <f>'Budget &amp; Costs'!J18</f>
        <v>0</v>
      </c>
      <c r="F49" s="32">
        <f>'Budget &amp; Costs'!M18</f>
        <v>0</v>
      </c>
      <c r="G49" s="32">
        <f>'Budget &amp; Costs'!O18</f>
        <v>0</v>
      </c>
      <c r="H49" s="32">
        <f>'Budget &amp; Costs'!P18</f>
        <v>0</v>
      </c>
      <c r="I49" s="225">
        <f>'Budget &amp; Costs'!G18</f>
        <v>0</v>
      </c>
      <c r="J49" s="32">
        <f>'Budget &amp; Costs'!L18</f>
        <v>0</v>
      </c>
    </row>
    <row r="50" spans="2:10" x14ac:dyDescent="0.2">
      <c r="B50" s="10">
        <f>'Budget &amp; Costs'!C19</f>
        <v>0</v>
      </c>
      <c r="C50" s="10">
        <f>'Budget &amp; Costs'!D19</f>
        <v>0</v>
      </c>
      <c r="D50" s="32">
        <f>'Budget &amp; Costs'!I19</f>
        <v>0</v>
      </c>
      <c r="E50" s="32">
        <f>'Budget &amp; Costs'!J19</f>
        <v>0</v>
      </c>
      <c r="F50" s="32">
        <f>'Budget &amp; Costs'!M19</f>
        <v>0</v>
      </c>
      <c r="G50" s="32">
        <f>'Budget &amp; Costs'!O19</f>
        <v>0</v>
      </c>
      <c r="H50" s="32">
        <f>'Budget &amp; Costs'!P19</f>
        <v>0</v>
      </c>
      <c r="I50" s="225">
        <f>'Budget &amp; Costs'!G19</f>
        <v>0</v>
      </c>
      <c r="J50" s="32">
        <f>'Budget &amp; Costs'!L19</f>
        <v>0</v>
      </c>
    </row>
    <row r="51" spans="2:10" x14ac:dyDescent="0.2">
      <c r="B51" s="10">
        <f>'Budget &amp; Costs'!C20</f>
        <v>0</v>
      </c>
      <c r="C51" s="10">
        <f>'Budget &amp; Costs'!D20</f>
        <v>0</v>
      </c>
      <c r="D51" s="32">
        <f>'Budget &amp; Costs'!I20</f>
        <v>0</v>
      </c>
      <c r="E51" s="32">
        <f>'Budget &amp; Costs'!J20</f>
        <v>0</v>
      </c>
      <c r="F51" s="32">
        <f>'Budget &amp; Costs'!M20</f>
        <v>0</v>
      </c>
      <c r="G51" s="32">
        <f>'Budget &amp; Costs'!O20</f>
        <v>0</v>
      </c>
      <c r="H51" s="32">
        <f>'Budget &amp; Costs'!P20</f>
        <v>0</v>
      </c>
      <c r="I51" s="225">
        <f>'Budget &amp; Costs'!G20</f>
        <v>0</v>
      </c>
      <c r="J51" s="32">
        <f>'Budget &amp; Costs'!L20</f>
        <v>0</v>
      </c>
    </row>
    <row r="52" spans="2:10" x14ac:dyDescent="0.2">
      <c r="B52" s="10">
        <f>'Budget &amp; Costs'!C21</f>
        <v>0</v>
      </c>
      <c r="C52" s="10">
        <f>'Budget &amp; Costs'!D21</f>
        <v>0</v>
      </c>
      <c r="D52" s="32">
        <f>'Budget &amp; Costs'!I21</f>
        <v>0</v>
      </c>
      <c r="E52" s="32">
        <f>'Budget &amp; Costs'!J21</f>
        <v>0</v>
      </c>
      <c r="F52" s="32">
        <f>'Budget &amp; Costs'!M21</f>
        <v>0</v>
      </c>
      <c r="G52" s="32">
        <f>'Budget &amp; Costs'!O21</f>
        <v>0</v>
      </c>
      <c r="H52" s="32">
        <f>'Budget &amp; Costs'!P21</f>
        <v>0</v>
      </c>
      <c r="I52" s="225">
        <f>'Budget &amp; Costs'!G21</f>
        <v>0</v>
      </c>
      <c r="J52" s="32">
        <f>'Budget &amp; Costs'!L21</f>
        <v>0</v>
      </c>
    </row>
    <row r="53" spans="2:10" x14ac:dyDescent="0.2">
      <c r="B53" s="10">
        <f>'Budget &amp; Costs'!C22</f>
        <v>0</v>
      </c>
      <c r="C53" s="10">
        <f>'Budget &amp; Costs'!D22</f>
        <v>0</v>
      </c>
      <c r="D53" s="32">
        <f>'Budget &amp; Costs'!I22</f>
        <v>0</v>
      </c>
      <c r="E53" s="32">
        <f>'Budget &amp; Costs'!J22</f>
        <v>0</v>
      </c>
      <c r="F53" s="32">
        <f>'Budget &amp; Costs'!M22</f>
        <v>0</v>
      </c>
      <c r="G53" s="32">
        <f>'Budget &amp; Costs'!O22</f>
        <v>0</v>
      </c>
      <c r="H53" s="32">
        <f>'Budget &amp; Costs'!P22</f>
        <v>0</v>
      </c>
      <c r="I53" s="225">
        <f>'Budget &amp; Costs'!G22</f>
        <v>0</v>
      </c>
      <c r="J53" s="32">
        <f>'Budget &amp; Costs'!L22</f>
        <v>0</v>
      </c>
    </row>
    <row r="54" spans="2:10" x14ac:dyDescent="0.2">
      <c r="B54" s="10">
        <f>'Budget &amp; Costs'!C23</f>
        <v>0</v>
      </c>
      <c r="C54" s="10">
        <f>'Budget &amp; Costs'!D23</f>
        <v>0</v>
      </c>
      <c r="D54" s="32">
        <f>'Budget &amp; Costs'!I23</f>
        <v>0</v>
      </c>
      <c r="E54" s="32">
        <f>'Budget &amp; Costs'!J23</f>
        <v>0</v>
      </c>
      <c r="F54" s="32">
        <f>'Budget &amp; Costs'!M23</f>
        <v>0</v>
      </c>
      <c r="G54" s="32">
        <f>'Budget &amp; Costs'!O23</f>
        <v>0</v>
      </c>
      <c r="H54" s="32">
        <f>'Budget &amp; Costs'!P23</f>
        <v>0</v>
      </c>
      <c r="I54" s="225">
        <f>'Budget &amp; Costs'!G23</f>
        <v>0</v>
      </c>
      <c r="J54" s="32">
        <f>'Budget &amp; Costs'!L23</f>
        <v>0</v>
      </c>
    </row>
    <row r="55" spans="2:10" x14ac:dyDescent="0.2">
      <c r="B55" s="10">
        <f>'Budget &amp; Costs'!C24</f>
        <v>0</v>
      </c>
      <c r="C55" s="10">
        <f>'Budget &amp; Costs'!D24</f>
        <v>0</v>
      </c>
      <c r="D55" s="32">
        <f>'Budget &amp; Costs'!I24</f>
        <v>0</v>
      </c>
      <c r="E55" s="32">
        <f>'Budget &amp; Costs'!J24</f>
        <v>0</v>
      </c>
      <c r="F55" s="32">
        <f>'Budget &amp; Costs'!M24</f>
        <v>0</v>
      </c>
      <c r="G55" s="32">
        <f>'Budget &amp; Costs'!O24</f>
        <v>0</v>
      </c>
      <c r="H55" s="32">
        <f>'Budget &amp; Costs'!P24</f>
        <v>0</v>
      </c>
      <c r="I55" s="225">
        <f>'Budget &amp; Costs'!G24</f>
        <v>0</v>
      </c>
      <c r="J55" s="32">
        <f>'Budget &amp; Costs'!L24</f>
        <v>0</v>
      </c>
    </row>
    <row r="56" spans="2:10" x14ac:dyDescent="0.2">
      <c r="B56" s="10">
        <f>'Budget &amp; Costs'!C25</f>
        <v>0</v>
      </c>
      <c r="C56" s="10">
        <f>'Budget &amp; Costs'!D25</f>
        <v>0</v>
      </c>
      <c r="D56" s="32">
        <f>'Budget &amp; Costs'!I25</f>
        <v>0</v>
      </c>
      <c r="E56" s="32">
        <f>'Budget &amp; Costs'!J25</f>
        <v>0</v>
      </c>
      <c r="F56" s="32">
        <f>'Budget &amp; Costs'!M25</f>
        <v>0</v>
      </c>
      <c r="G56" s="32">
        <f>'Budget &amp; Costs'!O25</f>
        <v>0</v>
      </c>
      <c r="H56" s="32">
        <f>'Budget &amp; Costs'!P25</f>
        <v>0</v>
      </c>
      <c r="I56" s="225">
        <f>'Budget &amp; Costs'!G25</f>
        <v>0</v>
      </c>
      <c r="J56" s="32">
        <f>'Budget &amp; Costs'!L25</f>
        <v>0</v>
      </c>
    </row>
    <row r="57" spans="2:10" x14ac:dyDescent="0.2">
      <c r="B57" s="10">
        <f>'Budget &amp; Costs'!C26</f>
        <v>0</v>
      </c>
      <c r="C57" s="10">
        <f>'Budget &amp; Costs'!D26</f>
        <v>0</v>
      </c>
      <c r="D57" s="32">
        <f>'Budget &amp; Costs'!I26</f>
        <v>0</v>
      </c>
      <c r="E57" s="32">
        <f>'Budget &amp; Costs'!J26</f>
        <v>0</v>
      </c>
      <c r="F57" s="32">
        <f>'Budget &amp; Costs'!M26</f>
        <v>0</v>
      </c>
      <c r="G57" s="32">
        <f>'Budget &amp; Costs'!O26</f>
        <v>0</v>
      </c>
      <c r="H57" s="32">
        <f>'Budget &amp; Costs'!P26</f>
        <v>0</v>
      </c>
      <c r="I57" s="225">
        <f>'Budget &amp; Costs'!G26</f>
        <v>0</v>
      </c>
      <c r="J57" s="32">
        <f>'Budget &amp; Costs'!L26</f>
        <v>0</v>
      </c>
    </row>
    <row r="58" spans="2:10" x14ac:dyDescent="0.2">
      <c r="B58" s="10">
        <f>'Budget &amp; Costs'!C27</f>
        <v>0</v>
      </c>
      <c r="C58" s="10">
        <f>'Budget &amp; Costs'!D27</f>
        <v>0</v>
      </c>
      <c r="D58" s="32">
        <f>'Budget &amp; Costs'!I27</f>
        <v>0</v>
      </c>
      <c r="E58" s="32">
        <f>'Budget &amp; Costs'!J27</f>
        <v>0</v>
      </c>
      <c r="F58" s="32">
        <f>'Budget &amp; Costs'!M27</f>
        <v>0</v>
      </c>
      <c r="G58" s="32">
        <f>'Budget &amp; Costs'!O27</f>
        <v>0</v>
      </c>
      <c r="H58" s="32">
        <f>'Budget &amp; Costs'!P27</f>
        <v>0</v>
      </c>
      <c r="I58" s="225">
        <f>'Budget &amp; Costs'!G27</f>
        <v>0</v>
      </c>
      <c r="J58" s="32">
        <f>'Budget &amp; Costs'!L27</f>
        <v>0</v>
      </c>
    </row>
    <row r="59" spans="2:10" x14ac:dyDescent="0.2">
      <c r="B59" s="10">
        <f>'Budget &amp; Costs'!C28</f>
        <v>0</v>
      </c>
      <c r="C59" s="10">
        <f>'Budget &amp; Costs'!D28</f>
        <v>0</v>
      </c>
      <c r="D59" s="32">
        <f>'Budget &amp; Costs'!I28</f>
        <v>0</v>
      </c>
      <c r="E59" s="32">
        <f>'Budget &amp; Costs'!J28</f>
        <v>0</v>
      </c>
      <c r="F59" s="32">
        <f>'Budget &amp; Costs'!M28</f>
        <v>0</v>
      </c>
      <c r="G59" s="32">
        <f>'Budget &amp; Costs'!O28</f>
        <v>0</v>
      </c>
      <c r="H59" s="32">
        <f>'Budget &amp; Costs'!P28</f>
        <v>0</v>
      </c>
      <c r="I59" s="225">
        <f>'Budget &amp; Costs'!G28</f>
        <v>0</v>
      </c>
      <c r="J59" s="32">
        <f>'Budget &amp; Costs'!L28</f>
        <v>0</v>
      </c>
    </row>
    <row r="60" spans="2:10" x14ac:dyDescent="0.2">
      <c r="B60" s="10">
        <f>'Budget &amp; Costs'!C29</f>
        <v>0</v>
      </c>
      <c r="C60" s="10">
        <f>'Budget &amp; Costs'!D29</f>
        <v>0</v>
      </c>
      <c r="D60" s="32">
        <f>'Budget &amp; Costs'!I29</f>
        <v>0</v>
      </c>
      <c r="E60" s="32">
        <f>'Budget &amp; Costs'!J29</f>
        <v>0</v>
      </c>
      <c r="F60" s="32">
        <f>'Budget &amp; Costs'!M29</f>
        <v>0</v>
      </c>
      <c r="G60" s="32">
        <f>'Budget &amp; Costs'!O29</f>
        <v>0</v>
      </c>
      <c r="H60" s="32">
        <f>'Budget &amp; Costs'!P29</f>
        <v>0</v>
      </c>
      <c r="I60" s="225">
        <f>'Budget &amp; Costs'!G29</f>
        <v>0</v>
      </c>
      <c r="J60" s="32">
        <f>'Budget &amp; Costs'!L29</f>
        <v>0</v>
      </c>
    </row>
    <row r="61" spans="2:10" x14ac:dyDescent="0.2">
      <c r="B61" s="10">
        <f>'Budget &amp; Costs'!C30</f>
        <v>0</v>
      </c>
      <c r="C61" s="10">
        <f>'Budget &amp; Costs'!D30</f>
        <v>0</v>
      </c>
      <c r="D61" s="32">
        <f>'Budget &amp; Costs'!I30</f>
        <v>0</v>
      </c>
      <c r="E61" s="32">
        <f>'Budget &amp; Costs'!J30</f>
        <v>0</v>
      </c>
      <c r="F61" s="32">
        <f>'Budget &amp; Costs'!M30</f>
        <v>0</v>
      </c>
      <c r="G61" s="32">
        <f>'Budget &amp; Costs'!O30</f>
        <v>0</v>
      </c>
      <c r="H61" s="32">
        <f>'Budget &amp; Costs'!P30</f>
        <v>0</v>
      </c>
      <c r="I61" s="225">
        <f>'Budget &amp; Costs'!G30</f>
        <v>0</v>
      </c>
      <c r="J61" s="32">
        <f>'Budget &amp; Costs'!L30</f>
        <v>0</v>
      </c>
    </row>
    <row r="62" spans="2:10" x14ac:dyDescent="0.2">
      <c r="B62" s="10">
        <f>'Budget &amp; Costs'!C31</f>
        <v>0</v>
      </c>
      <c r="C62" s="10">
        <f>'Budget &amp; Costs'!D31</f>
        <v>0</v>
      </c>
      <c r="D62" s="32">
        <f>'Budget &amp; Costs'!I31</f>
        <v>0</v>
      </c>
      <c r="E62" s="32">
        <f>'Budget &amp; Costs'!J31</f>
        <v>0</v>
      </c>
      <c r="F62" s="32">
        <f>'Budget &amp; Costs'!M31</f>
        <v>0</v>
      </c>
      <c r="G62" s="32">
        <f>'Budget &amp; Costs'!O31</f>
        <v>0</v>
      </c>
      <c r="H62" s="32">
        <f>'Budget &amp; Costs'!P31</f>
        <v>0</v>
      </c>
      <c r="I62" s="225">
        <f>'Budget &amp; Costs'!G31</f>
        <v>0</v>
      </c>
      <c r="J62" s="32">
        <f>'Budget &amp; Costs'!L31</f>
        <v>0</v>
      </c>
    </row>
    <row r="63" spans="2:10" x14ac:dyDescent="0.2">
      <c r="B63" s="10">
        <f>'Budget &amp; Costs'!C32</f>
        <v>0</v>
      </c>
      <c r="C63" s="10">
        <f>'Budget &amp; Costs'!D32</f>
        <v>0</v>
      </c>
      <c r="D63" s="32">
        <f>'Budget &amp; Costs'!I32</f>
        <v>0</v>
      </c>
      <c r="E63" s="32">
        <f>'Budget &amp; Costs'!J32</f>
        <v>0</v>
      </c>
      <c r="F63" s="32">
        <f>'Budget &amp; Costs'!M32</f>
        <v>0</v>
      </c>
      <c r="G63" s="32">
        <f>'Budget &amp; Costs'!O32</f>
        <v>0</v>
      </c>
      <c r="H63" s="32">
        <f>'Budget &amp; Costs'!P32</f>
        <v>0</v>
      </c>
      <c r="I63" s="225">
        <f>'Budget &amp; Costs'!G32</f>
        <v>0</v>
      </c>
      <c r="J63" s="32">
        <f>'Budget &amp; Costs'!L32</f>
        <v>0</v>
      </c>
    </row>
    <row r="64" spans="2:10" x14ac:dyDescent="0.2">
      <c r="B64" s="10">
        <f>'Budget &amp; Costs'!C33</f>
        <v>0</v>
      </c>
      <c r="C64" s="10">
        <f>'Budget &amp; Costs'!D33</f>
        <v>0</v>
      </c>
      <c r="D64" s="32">
        <f>'Budget &amp; Costs'!I33</f>
        <v>0</v>
      </c>
      <c r="E64" s="32">
        <f>'Budget &amp; Costs'!J33</f>
        <v>0</v>
      </c>
      <c r="F64" s="32">
        <f>'Budget &amp; Costs'!M33</f>
        <v>0</v>
      </c>
      <c r="G64" s="32">
        <f>'Budget &amp; Costs'!O33</f>
        <v>0</v>
      </c>
      <c r="H64" s="32">
        <f>'Budget &amp; Costs'!P33</f>
        <v>0</v>
      </c>
      <c r="I64" s="225">
        <f>'Budget &amp; Costs'!G33</f>
        <v>0</v>
      </c>
      <c r="J64" s="32">
        <f>'Budget &amp; Costs'!L33</f>
        <v>0</v>
      </c>
    </row>
    <row r="65" spans="1:32" x14ac:dyDescent="0.2">
      <c r="B65" s="10">
        <f>'Budget &amp; Costs'!C34</f>
        <v>0</v>
      </c>
      <c r="C65" s="10">
        <f>'Budget &amp; Costs'!D34</f>
        <v>0</v>
      </c>
      <c r="D65" s="32">
        <f>'Budget &amp; Costs'!I34</f>
        <v>0</v>
      </c>
      <c r="E65" s="32">
        <f>'Budget &amp; Costs'!J34</f>
        <v>0</v>
      </c>
      <c r="F65" s="32">
        <f>'Budget &amp; Costs'!M34</f>
        <v>0</v>
      </c>
      <c r="G65" s="32">
        <f>'Budget &amp; Costs'!O34</f>
        <v>0</v>
      </c>
      <c r="H65" s="32">
        <f>'Budget &amp; Costs'!P34</f>
        <v>0</v>
      </c>
      <c r="I65" s="225">
        <f>'Budget &amp; Costs'!G34</f>
        <v>0</v>
      </c>
      <c r="J65" s="32">
        <f>'Budget &amp; Costs'!L34</f>
        <v>0</v>
      </c>
    </row>
    <row r="66" spans="1:32" x14ac:dyDescent="0.2">
      <c r="B66" s="10">
        <f>'Budget &amp; Costs'!C35</f>
        <v>0</v>
      </c>
      <c r="C66" s="10">
        <f>'Budget &amp; Costs'!D35</f>
        <v>0</v>
      </c>
      <c r="D66" s="32">
        <f>'Budget &amp; Costs'!I35</f>
        <v>0</v>
      </c>
      <c r="E66" s="32">
        <f>'Budget &amp; Costs'!J35</f>
        <v>0</v>
      </c>
      <c r="F66" s="32">
        <f>'Budget &amp; Costs'!M35</f>
        <v>0</v>
      </c>
      <c r="G66" s="32">
        <f>'Budget &amp; Costs'!O35</f>
        <v>0</v>
      </c>
      <c r="H66" s="32">
        <f>'Budget &amp; Costs'!P35</f>
        <v>0</v>
      </c>
      <c r="I66" s="225">
        <f>'Budget &amp; Costs'!G35</f>
        <v>0</v>
      </c>
      <c r="J66" s="32">
        <f>'Budget &amp; Costs'!L35</f>
        <v>0</v>
      </c>
    </row>
    <row r="67" spans="1:32" x14ac:dyDescent="0.2">
      <c r="B67" s="10">
        <f>'Budget &amp; Costs'!C36</f>
        <v>0</v>
      </c>
      <c r="C67" s="10">
        <f>'Budget &amp; Costs'!D36</f>
        <v>0</v>
      </c>
      <c r="D67" s="32">
        <f>'Budget &amp; Costs'!I36</f>
        <v>0</v>
      </c>
      <c r="E67" s="32">
        <f>'Budget &amp; Costs'!J36</f>
        <v>0</v>
      </c>
      <c r="F67" s="32">
        <f>'Budget &amp; Costs'!M36</f>
        <v>0</v>
      </c>
      <c r="G67" s="32">
        <f>'Budget &amp; Costs'!O36</f>
        <v>0</v>
      </c>
      <c r="H67" s="32">
        <f>'Budget &amp; Costs'!P36</f>
        <v>0</v>
      </c>
      <c r="I67" s="225">
        <f>'Budget &amp; Costs'!G36</f>
        <v>0</v>
      </c>
      <c r="J67" s="32">
        <f>'Budget &amp; Costs'!L36</f>
        <v>0</v>
      </c>
    </row>
    <row r="68" spans="1:32" x14ac:dyDescent="0.2">
      <c r="B68" s="10">
        <f>'Budget &amp; Costs'!C37</f>
        <v>0</v>
      </c>
      <c r="C68" s="10">
        <f>'Budget &amp; Costs'!D37</f>
        <v>0</v>
      </c>
      <c r="D68" s="32">
        <f>'Budget &amp; Costs'!I37</f>
        <v>0</v>
      </c>
      <c r="E68" s="32">
        <f>'Budget &amp; Costs'!J37</f>
        <v>0</v>
      </c>
      <c r="F68" s="32">
        <f>'Budget &amp; Costs'!M37</f>
        <v>0</v>
      </c>
      <c r="G68" s="32">
        <f>'Budget &amp; Costs'!O37</f>
        <v>0</v>
      </c>
      <c r="H68" s="32">
        <f>'Budget &amp; Costs'!P37</f>
        <v>0</v>
      </c>
      <c r="I68" s="225">
        <f>'Budget &amp; Costs'!G37</f>
        <v>0</v>
      </c>
      <c r="J68" s="32">
        <f>'Budget &amp; Costs'!L37</f>
        <v>0</v>
      </c>
    </row>
    <row r="69" spans="1:32" x14ac:dyDescent="0.2">
      <c r="B69" s="10">
        <f>'Budget &amp; Costs'!C38</f>
        <v>0</v>
      </c>
      <c r="C69" s="10">
        <f>'Budget &amp; Costs'!D38</f>
        <v>0</v>
      </c>
      <c r="D69" s="32">
        <f>'Budget &amp; Costs'!I38</f>
        <v>0</v>
      </c>
      <c r="E69" s="32">
        <f>'Budget &amp; Costs'!J38</f>
        <v>0</v>
      </c>
      <c r="F69" s="32">
        <f>'Budget &amp; Costs'!M38</f>
        <v>0</v>
      </c>
      <c r="G69" s="32">
        <f>'Budget &amp; Costs'!O38</f>
        <v>0</v>
      </c>
      <c r="H69" s="32">
        <f>'Budget &amp; Costs'!P38</f>
        <v>0</v>
      </c>
      <c r="I69" s="225">
        <f>'Budget &amp; Costs'!G38</f>
        <v>0</v>
      </c>
      <c r="J69" s="32">
        <f>'Budget &amp; Costs'!L38</f>
        <v>0</v>
      </c>
    </row>
    <row r="70" spans="1:32" x14ac:dyDescent="0.2">
      <c r="B70" s="10">
        <f>'Budget &amp; Costs'!C39</f>
        <v>0</v>
      </c>
      <c r="C70" s="10">
        <f>'Budget &amp; Costs'!D39</f>
        <v>0</v>
      </c>
      <c r="D70" s="32">
        <f>'Budget &amp; Costs'!I39</f>
        <v>0</v>
      </c>
      <c r="E70" s="32">
        <f>'Budget &amp; Costs'!J39</f>
        <v>0</v>
      </c>
      <c r="F70" s="32">
        <f>'Budget &amp; Costs'!M39</f>
        <v>0</v>
      </c>
      <c r="G70" s="32">
        <f>'Budget &amp; Costs'!O39</f>
        <v>0</v>
      </c>
      <c r="H70" s="32">
        <f>'Budget &amp; Costs'!P39</f>
        <v>0</v>
      </c>
      <c r="I70" s="225">
        <f>'Budget &amp; Costs'!G39</f>
        <v>0</v>
      </c>
      <c r="J70" s="32">
        <f>'Budget &amp; Costs'!L39</f>
        <v>0</v>
      </c>
    </row>
    <row r="71" spans="1:32" x14ac:dyDescent="0.2">
      <c r="B71" s="10">
        <f>'Budget &amp; Costs'!C40</f>
        <v>0</v>
      </c>
      <c r="C71" s="10">
        <f>'Budget &amp; Costs'!D40</f>
        <v>0</v>
      </c>
      <c r="D71" s="32">
        <f>'Budget &amp; Costs'!I40</f>
        <v>0</v>
      </c>
      <c r="E71" s="32">
        <f>'Budget &amp; Costs'!J40</f>
        <v>0</v>
      </c>
      <c r="F71" s="32">
        <f>'Budget &amp; Costs'!M40</f>
        <v>0</v>
      </c>
      <c r="G71" s="32">
        <f>'Budget &amp; Costs'!O40</f>
        <v>0</v>
      </c>
      <c r="H71" s="32">
        <f>'Budget &amp; Costs'!P40</f>
        <v>0</v>
      </c>
      <c r="I71" s="225">
        <f>'Budget &amp; Costs'!G40</f>
        <v>0</v>
      </c>
      <c r="J71" s="32">
        <f>'Budget &amp; Costs'!L40</f>
        <v>0</v>
      </c>
    </row>
    <row r="72" spans="1:32" x14ac:dyDescent="0.2">
      <c r="B72" s="10">
        <f>'Budget &amp; Costs'!C41</f>
        <v>0</v>
      </c>
      <c r="C72" s="10">
        <f>'Budget &amp; Costs'!D41</f>
        <v>0</v>
      </c>
      <c r="D72" s="32">
        <f>'Budget &amp; Costs'!I41</f>
        <v>0</v>
      </c>
      <c r="E72" s="32">
        <f>'Budget &amp; Costs'!J41</f>
        <v>0</v>
      </c>
      <c r="F72" s="32">
        <f>'Budget &amp; Costs'!M41</f>
        <v>0</v>
      </c>
      <c r="G72" s="32">
        <f>'Budget &amp; Costs'!O41</f>
        <v>0</v>
      </c>
      <c r="H72" s="32">
        <f>'Budget &amp; Costs'!P41</f>
        <v>0</v>
      </c>
      <c r="I72" s="225">
        <f>'Budget &amp; Costs'!G41</f>
        <v>0</v>
      </c>
      <c r="J72" s="32">
        <f>'Budget &amp; Costs'!L41</f>
        <v>0</v>
      </c>
    </row>
    <row r="73" spans="1:32" x14ac:dyDescent="0.2">
      <c r="B73" s="10">
        <f>'Budget &amp; Costs'!C42</f>
        <v>0</v>
      </c>
      <c r="C73" s="10">
        <f>'Budget &amp; Costs'!D42</f>
        <v>0</v>
      </c>
      <c r="D73" s="32">
        <f>'Budget &amp; Costs'!I42</f>
        <v>0</v>
      </c>
      <c r="E73" s="32">
        <f>'Budget &amp; Costs'!J42</f>
        <v>0</v>
      </c>
      <c r="F73" s="32">
        <f>'Budget &amp; Costs'!M42</f>
        <v>0</v>
      </c>
      <c r="G73" s="32">
        <f>'Budget &amp; Costs'!O42</f>
        <v>0</v>
      </c>
      <c r="H73" s="32">
        <f>'Budget &amp; Costs'!P42</f>
        <v>0</v>
      </c>
      <c r="I73" s="225">
        <f>'Budget &amp; Costs'!G42</f>
        <v>0</v>
      </c>
      <c r="J73" s="32">
        <f>'Budget &amp; Costs'!L42</f>
        <v>0</v>
      </c>
    </row>
    <row r="74" spans="1:32" x14ac:dyDescent="0.2">
      <c r="B74" s="10">
        <f>'Budget &amp; Costs'!C43</f>
        <v>0</v>
      </c>
      <c r="C74" s="10">
        <f>'Budget &amp; Costs'!D43</f>
        <v>0</v>
      </c>
      <c r="D74" s="32">
        <f>'Budget &amp; Costs'!I43</f>
        <v>0</v>
      </c>
      <c r="E74" s="32">
        <f>'Budget &amp; Costs'!J43</f>
        <v>0</v>
      </c>
      <c r="F74" s="32">
        <f>'Budget &amp; Costs'!M43</f>
        <v>0</v>
      </c>
      <c r="G74" s="32">
        <f>'Budget &amp; Costs'!O43</f>
        <v>0</v>
      </c>
      <c r="H74" s="32">
        <f>'Budget &amp; Costs'!P43</f>
        <v>0</v>
      </c>
      <c r="I74" s="225">
        <f>'Budget &amp; Costs'!G43</f>
        <v>0</v>
      </c>
      <c r="J74" s="32">
        <f>'Budget &amp; Costs'!L43</f>
        <v>0</v>
      </c>
    </row>
    <row r="75" spans="1:32" x14ac:dyDescent="0.2">
      <c r="B75" s="10">
        <f>'Budget &amp; Costs'!C44</f>
        <v>0</v>
      </c>
      <c r="C75" s="10">
        <f>'Budget &amp; Costs'!D44</f>
        <v>0</v>
      </c>
      <c r="D75" s="32">
        <f>'Budget &amp; Costs'!I44</f>
        <v>0</v>
      </c>
      <c r="E75" s="32">
        <f>'Budget &amp; Costs'!J44</f>
        <v>0</v>
      </c>
      <c r="F75" s="32">
        <f>'Budget &amp; Costs'!M44</f>
        <v>0</v>
      </c>
      <c r="G75" s="32">
        <f>'Budget &amp; Costs'!O44</f>
        <v>0</v>
      </c>
      <c r="H75" s="32">
        <f>'Budget &amp; Costs'!P44</f>
        <v>0</v>
      </c>
      <c r="I75" s="225">
        <f>'Budget &amp; Costs'!G44</f>
        <v>0</v>
      </c>
      <c r="J75" s="32">
        <f>'Budget &amp; Costs'!L44</f>
        <v>0</v>
      </c>
    </row>
    <row r="76" spans="1:32" ht="15" x14ac:dyDescent="0.25">
      <c r="B76" s="11">
        <f>'Budget &amp; Costs'!C45</f>
        <v>0</v>
      </c>
      <c r="H76" s="600">
        <f>'Budget &amp; Costs'!P45</f>
        <v>0</v>
      </c>
    </row>
    <row r="78" spans="1:32" s="197" customFormat="1" ht="24.95" customHeight="1" x14ac:dyDescent="0.2">
      <c r="A78" s="740" t="s">
        <v>4510</v>
      </c>
      <c r="B78" s="187"/>
      <c r="C78" s="187"/>
      <c r="D78" s="187"/>
      <c r="E78" s="187"/>
      <c r="F78" s="187"/>
      <c r="G78" s="187"/>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7"/>
      <c r="AF78" s="187"/>
    </row>
    <row r="79" spans="1:32" ht="15" x14ac:dyDescent="0.25">
      <c r="C79" s="16" t="s">
        <v>3691</v>
      </c>
      <c r="D79" s="16" t="s">
        <v>3692</v>
      </c>
      <c r="E79" s="16" t="s">
        <v>3693</v>
      </c>
      <c r="F79" s="16" t="s">
        <v>3694</v>
      </c>
      <c r="G79" s="16" t="s">
        <v>3695</v>
      </c>
      <c r="H79" s="16" t="s">
        <v>3696</v>
      </c>
      <c r="I79" s="16" t="s">
        <v>3697</v>
      </c>
      <c r="J79" s="16" t="s">
        <v>3698</v>
      </c>
      <c r="K79" s="16" t="s">
        <v>3699</v>
      </c>
      <c r="L79" s="16" t="s">
        <v>3700</v>
      </c>
      <c r="M79" s="16" t="s">
        <v>3701</v>
      </c>
      <c r="N79" s="16" t="s">
        <v>3702</v>
      </c>
      <c r="O79" s="16" t="s">
        <v>3703</v>
      </c>
      <c r="P79" s="16" t="s">
        <v>3704</v>
      </c>
      <c r="Q79" s="16" t="s">
        <v>3705</v>
      </c>
      <c r="R79" s="16" t="s">
        <v>3706</v>
      </c>
      <c r="S79" s="16" t="s">
        <v>3707</v>
      </c>
      <c r="T79" s="16" t="s">
        <v>3708</v>
      </c>
      <c r="U79" s="16" t="s">
        <v>3709</v>
      </c>
      <c r="V79" s="16" t="s">
        <v>3710</v>
      </c>
      <c r="W79" s="16" t="s">
        <v>3711</v>
      </c>
      <c r="X79" s="16" t="s">
        <v>3712</v>
      </c>
      <c r="Y79" s="16" t="s">
        <v>3713</v>
      </c>
      <c r="Z79" s="16" t="s">
        <v>3714</v>
      </c>
      <c r="AA79" s="16" t="s">
        <v>3715</v>
      </c>
      <c r="AB79" s="16" t="s">
        <v>3716</v>
      </c>
      <c r="AC79" s="16" t="s">
        <v>3717</v>
      </c>
      <c r="AD79" s="16" t="s">
        <v>3718</v>
      </c>
      <c r="AE79" s="16" t="s">
        <v>3719</v>
      </c>
      <c r="AF79" s="16" t="s">
        <v>3720</v>
      </c>
    </row>
    <row r="80" spans="1:32" ht="15" x14ac:dyDescent="0.25">
      <c r="B80" s="11" t="s">
        <v>3721</v>
      </c>
      <c r="C80" s="598">
        <f>H76*12</f>
        <v>0</v>
      </c>
      <c r="D80" s="598">
        <f>C80*(1+$J$29)</f>
        <v>0</v>
      </c>
      <c r="E80" s="598">
        <f t="shared" ref="E80:T84" si="1">D80*(1+$J$29)</f>
        <v>0</v>
      </c>
      <c r="F80" s="598">
        <f t="shared" si="1"/>
        <v>0</v>
      </c>
      <c r="G80" s="598">
        <f t="shared" si="1"/>
        <v>0</v>
      </c>
      <c r="H80" s="598">
        <f t="shared" si="1"/>
        <v>0</v>
      </c>
      <c r="I80" s="598">
        <f t="shared" si="1"/>
        <v>0</v>
      </c>
      <c r="J80" s="598">
        <f t="shared" si="1"/>
        <v>0</v>
      </c>
      <c r="K80" s="598">
        <f t="shared" si="1"/>
        <v>0</v>
      </c>
      <c r="L80" s="598">
        <f t="shared" si="1"/>
        <v>0</v>
      </c>
      <c r="M80" s="598">
        <f t="shared" si="1"/>
        <v>0</v>
      </c>
      <c r="N80" s="598">
        <f t="shared" si="1"/>
        <v>0</v>
      </c>
      <c r="O80" s="598">
        <f t="shared" si="1"/>
        <v>0</v>
      </c>
      <c r="P80" s="598">
        <f t="shared" si="1"/>
        <v>0</v>
      </c>
      <c r="Q80" s="598">
        <f t="shared" si="1"/>
        <v>0</v>
      </c>
      <c r="R80" s="598">
        <f t="shared" si="1"/>
        <v>0</v>
      </c>
      <c r="S80" s="598">
        <f t="shared" si="1"/>
        <v>0</v>
      </c>
      <c r="T80" s="598">
        <f t="shared" si="1"/>
        <v>0</v>
      </c>
      <c r="U80" s="598">
        <f t="shared" ref="T80:AF84" si="2">T80*(1+$J$29)</f>
        <v>0</v>
      </c>
      <c r="V80" s="598">
        <f t="shared" si="2"/>
        <v>0</v>
      </c>
      <c r="W80" s="598">
        <f t="shared" si="2"/>
        <v>0</v>
      </c>
      <c r="X80" s="598">
        <f t="shared" si="2"/>
        <v>0</v>
      </c>
      <c r="Y80" s="598">
        <f t="shared" si="2"/>
        <v>0</v>
      </c>
      <c r="Z80" s="598">
        <f t="shared" si="2"/>
        <v>0</v>
      </c>
      <c r="AA80" s="598">
        <f t="shared" si="2"/>
        <v>0</v>
      </c>
      <c r="AB80" s="598">
        <f t="shared" si="2"/>
        <v>0</v>
      </c>
      <c r="AC80" s="598">
        <f t="shared" si="2"/>
        <v>0</v>
      </c>
      <c r="AD80" s="598">
        <f t="shared" si="2"/>
        <v>0</v>
      </c>
      <c r="AE80" s="598">
        <f t="shared" si="2"/>
        <v>0</v>
      </c>
      <c r="AF80" s="598">
        <f t="shared" si="2"/>
        <v>0</v>
      </c>
    </row>
    <row r="81" spans="1:32" ht="15" x14ac:dyDescent="0.25">
      <c r="B81" s="11" t="s">
        <v>3722</v>
      </c>
      <c r="C81" s="598">
        <f>'Budget &amp; Costs'!$F$91</f>
        <v>0</v>
      </c>
      <c r="D81" s="598">
        <f>C81*(1+$J$29)</f>
        <v>0</v>
      </c>
      <c r="E81" s="598">
        <f t="shared" si="1"/>
        <v>0</v>
      </c>
      <c r="F81" s="598">
        <f t="shared" si="1"/>
        <v>0</v>
      </c>
      <c r="G81" s="598">
        <f t="shared" si="1"/>
        <v>0</v>
      </c>
      <c r="H81" s="598">
        <f t="shared" si="1"/>
        <v>0</v>
      </c>
      <c r="I81" s="598">
        <f t="shared" si="1"/>
        <v>0</v>
      </c>
      <c r="J81" s="598">
        <f t="shared" si="1"/>
        <v>0</v>
      </c>
      <c r="K81" s="598">
        <f t="shared" si="1"/>
        <v>0</v>
      </c>
      <c r="L81" s="598">
        <f t="shared" si="1"/>
        <v>0</v>
      </c>
      <c r="M81" s="598">
        <f t="shared" si="1"/>
        <v>0</v>
      </c>
      <c r="N81" s="598">
        <f t="shared" si="1"/>
        <v>0</v>
      </c>
      <c r="O81" s="598">
        <f t="shared" si="1"/>
        <v>0</v>
      </c>
      <c r="P81" s="598">
        <f t="shared" si="1"/>
        <v>0</v>
      </c>
      <c r="Q81" s="598">
        <f t="shared" si="1"/>
        <v>0</v>
      </c>
      <c r="R81" s="598">
        <f t="shared" si="1"/>
        <v>0</v>
      </c>
      <c r="S81" s="598">
        <f t="shared" si="1"/>
        <v>0</v>
      </c>
      <c r="T81" s="598">
        <f t="shared" si="2"/>
        <v>0</v>
      </c>
      <c r="U81" s="598">
        <f t="shared" si="2"/>
        <v>0</v>
      </c>
      <c r="V81" s="598">
        <f t="shared" si="2"/>
        <v>0</v>
      </c>
      <c r="W81" s="598">
        <f t="shared" si="2"/>
        <v>0</v>
      </c>
      <c r="X81" s="598">
        <f t="shared" si="2"/>
        <v>0</v>
      </c>
      <c r="Y81" s="598">
        <f t="shared" si="2"/>
        <v>0</v>
      </c>
      <c r="Z81" s="598">
        <f t="shared" si="2"/>
        <v>0</v>
      </c>
      <c r="AA81" s="598">
        <f t="shared" si="2"/>
        <v>0</v>
      </c>
      <c r="AB81" s="598">
        <f t="shared" si="2"/>
        <v>0</v>
      </c>
      <c r="AC81" s="598">
        <f t="shared" si="2"/>
        <v>0</v>
      </c>
      <c r="AD81" s="598">
        <f t="shared" si="2"/>
        <v>0</v>
      </c>
      <c r="AE81" s="598">
        <f t="shared" si="2"/>
        <v>0</v>
      </c>
      <c r="AF81" s="598">
        <f t="shared" si="2"/>
        <v>0</v>
      </c>
    </row>
    <row r="82" spans="1:32" ht="15" x14ac:dyDescent="0.25">
      <c r="B82" s="11" t="s">
        <v>3723</v>
      </c>
      <c r="C82" s="598">
        <f>'Budget &amp; Costs'!$F$92+'Budget &amp; Costs'!$F$94</f>
        <v>0</v>
      </c>
      <c r="D82" s="598">
        <f>C82*(1+$J$29)</f>
        <v>0</v>
      </c>
      <c r="E82" s="598">
        <f t="shared" si="1"/>
        <v>0</v>
      </c>
      <c r="F82" s="598">
        <f t="shared" si="1"/>
        <v>0</v>
      </c>
      <c r="G82" s="598">
        <f t="shared" si="1"/>
        <v>0</v>
      </c>
      <c r="H82" s="598">
        <f t="shared" si="1"/>
        <v>0</v>
      </c>
      <c r="I82" s="598">
        <f t="shared" si="1"/>
        <v>0</v>
      </c>
      <c r="J82" s="598">
        <f t="shared" si="1"/>
        <v>0</v>
      </c>
      <c r="K82" s="598">
        <f t="shared" si="1"/>
        <v>0</v>
      </c>
      <c r="L82" s="598">
        <f t="shared" si="1"/>
        <v>0</v>
      </c>
      <c r="M82" s="598">
        <f t="shared" si="1"/>
        <v>0</v>
      </c>
      <c r="N82" s="598">
        <f t="shared" si="1"/>
        <v>0</v>
      </c>
      <c r="O82" s="598">
        <f t="shared" si="1"/>
        <v>0</v>
      </c>
      <c r="P82" s="598">
        <f t="shared" si="1"/>
        <v>0</v>
      </c>
      <c r="Q82" s="598">
        <f t="shared" si="1"/>
        <v>0</v>
      </c>
      <c r="R82" s="598">
        <f t="shared" si="1"/>
        <v>0</v>
      </c>
      <c r="S82" s="598">
        <f t="shared" si="1"/>
        <v>0</v>
      </c>
      <c r="T82" s="598">
        <f t="shared" si="1"/>
        <v>0</v>
      </c>
      <c r="U82" s="598">
        <f t="shared" si="2"/>
        <v>0</v>
      </c>
      <c r="V82" s="598">
        <f t="shared" si="2"/>
        <v>0</v>
      </c>
      <c r="W82" s="598">
        <f t="shared" si="2"/>
        <v>0</v>
      </c>
      <c r="X82" s="598">
        <f t="shared" si="2"/>
        <v>0</v>
      </c>
      <c r="Y82" s="598">
        <f t="shared" si="2"/>
        <v>0</v>
      </c>
      <c r="Z82" s="598">
        <f t="shared" si="2"/>
        <v>0</v>
      </c>
      <c r="AA82" s="598">
        <f t="shared" si="2"/>
        <v>0</v>
      </c>
      <c r="AB82" s="598">
        <f t="shared" si="2"/>
        <v>0</v>
      </c>
      <c r="AC82" s="598">
        <f t="shared" si="2"/>
        <v>0</v>
      </c>
      <c r="AD82" s="598">
        <f t="shared" si="2"/>
        <v>0</v>
      </c>
      <c r="AE82" s="598">
        <f t="shared" si="2"/>
        <v>0</v>
      </c>
      <c r="AF82" s="598">
        <f t="shared" si="2"/>
        <v>0</v>
      </c>
    </row>
    <row r="83" spans="1:32" ht="15" x14ac:dyDescent="0.25">
      <c r="B83" s="11" t="s">
        <v>4856</v>
      </c>
      <c r="C83" s="598">
        <f>'Budget &amp; Costs'!$F$101</f>
        <v>0</v>
      </c>
      <c r="D83" s="598">
        <f>C83*(1+$J$29)</f>
        <v>0</v>
      </c>
      <c r="E83" s="598">
        <f t="shared" si="1"/>
        <v>0</v>
      </c>
      <c r="F83" s="598">
        <f t="shared" si="1"/>
        <v>0</v>
      </c>
      <c r="G83" s="598">
        <f t="shared" si="1"/>
        <v>0</v>
      </c>
      <c r="H83" s="598">
        <f t="shared" si="1"/>
        <v>0</v>
      </c>
      <c r="I83" s="598">
        <f t="shared" si="1"/>
        <v>0</v>
      </c>
      <c r="J83" s="598">
        <f t="shared" si="1"/>
        <v>0</v>
      </c>
      <c r="K83" s="598">
        <f t="shared" si="1"/>
        <v>0</v>
      </c>
      <c r="L83" s="598">
        <f t="shared" si="1"/>
        <v>0</v>
      </c>
      <c r="M83" s="598">
        <f t="shared" si="1"/>
        <v>0</v>
      </c>
      <c r="N83" s="598">
        <f t="shared" si="1"/>
        <v>0</v>
      </c>
      <c r="O83" s="598">
        <f t="shared" si="1"/>
        <v>0</v>
      </c>
      <c r="P83" s="598">
        <f t="shared" si="1"/>
        <v>0</v>
      </c>
      <c r="Q83" s="598">
        <f t="shared" si="1"/>
        <v>0</v>
      </c>
      <c r="R83" s="598">
        <f t="shared" si="1"/>
        <v>0</v>
      </c>
      <c r="S83" s="598">
        <f t="shared" si="1"/>
        <v>0</v>
      </c>
      <c r="T83" s="598">
        <f t="shared" si="1"/>
        <v>0</v>
      </c>
      <c r="U83" s="598">
        <f t="shared" si="2"/>
        <v>0</v>
      </c>
      <c r="V83" s="598">
        <f t="shared" si="2"/>
        <v>0</v>
      </c>
      <c r="W83" s="598">
        <f t="shared" si="2"/>
        <v>0</v>
      </c>
      <c r="X83" s="598">
        <f t="shared" si="2"/>
        <v>0</v>
      </c>
      <c r="Y83" s="598">
        <f t="shared" si="2"/>
        <v>0</v>
      </c>
      <c r="Z83" s="598">
        <f t="shared" si="2"/>
        <v>0</v>
      </c>
      <c r="AA83" s="598">
        <f t="shared" si="2"/>
        <v>0</v>
      </c>
      <c r="AB83" s="598">
        <f t="shared" si="2"/>
        <v>0</v>
      </c>
      <c r="AC83" s="598">
        <f t="shared" si="2"/>
        <v>0</v>
      </c>
      <c r="AD83" s="598">
        <f t="shared" si="2"/>
        <v>0</v>
      </c>
      <c r="AE83" s="598">
        <f t="shared" si="2"/>
        <v>0</v>
      </c>
      <c r="AF83" s="598">
        <f t="shared" si="2"/>
        <v>0</v>
      </c>
    </row>
    <row r="84" spans="1:32" ht="15" x14ac:dyDescent="0.25">
      <c r="B84" s="11" t="s">
        <v>4857</v>
      </c>
      <c r="C84" s="598">
        <f>'Budget &amp; Costs'!$F$109</f>
        <v>0</v>
      </c>
      <c r="D84" s="598">
        <f>C84*(1+$J$29)</f>
        <v>0</v>
      </c>
      <c r="E84" s="598">
        <f t="shared" si="1"/>
        <v>0</v>
      </c>
      <c r="F84" s="598">
        <f t="shared" si="1"/>
        <v>0</v>
      </c>
      <c r="G84" s="598">
        <f t="shared" si="1"/>
        <v>0</v>
      </c>
      <c r="H84" s="598">
        <f t="shared" si="1"/>
        <v>0</v>
      </c>
      <c r="I84" s="598">
        <f t="shared" si="1"/>
        <v>0</v>
      </c>
      <c r="J84" s="598">
        <f t="shared" si="1"/>
        <v>0</v>
      </c>
      <c r="K84" s="598">
        <f t="shared" si="1"/>
        <v>0</v>
      </c>
      <c r="L84" s="598">
        <f t="shared" si="1"/>
        <v>0</v>
      </c>
      <c r="M84" s="598">
        <f t="shared" si="1"/>
        <v>0</v>
      </c>
      <c r="N84" s="598">
        <f t="shared" si="1"/>
        <v>0</v>
      </c>
      <c r="O84" s="598">
        <f t="shared" si="1"/>
        <v>0</v>
      </c>
      <c r="P84" s="598">
        <f t="shared" si="1"/>
        <v>0</v>
      </c>
      <c r="Q84" s="598">
        <f t="shared" si="1"/>
        <v>0</v>
      </c>
      <c r="R84" s="598">
        <f t="shared" si="1"/>
        <v>0</v>
      </c>
      <c r="S84" s="598">
        <f t="shared" si="1"/>
        <v>0</v>
      </c>
      <c r="T84" s="598">
        <f t="shared" si="1"/>
        <v>0</v>
      </c>
      <c r="U84" s="598">
        <f t="shared" si="2"/>
        <v>0</v>
      </c>
      <c r="V84" s="598">
        <f t="shared" si="2"/>
        <v>0</v>
      </c>
      <c r="W84" s="598">
        <f t="shared" si="2"/>
        <v>0</v>
      </c>
      <c r="X84" s="598">
        <f t="shared" si="2"/>
        <v>0</v>
      </c>
      <c r="Y84" s="598">
        <f t="shared" si="2"/>
        <v>0</v>
      </c>
      <c r="Z84" s="598">
        <f t="shared" si="2"/>
        <v>0</v>
      </c>
      <c r="AA84" s="598">
        <f t="shared" si="2"/>
        <v>0</v>
      </c>
      <c r="AB84" s="598">
        <f t="shared" si="2"/>
        <v>0</v>
      </c>
      <c r="AC84" s="598">
        <f t="shared" si="2"/>
        <v>0</v>
      </c>
      <c r="AD84" s="598">
        <f t="shared" si="2"/>
        <v>0</v>
      </c>
      <c r="AE84" s="598">
        <f t="shared" si="2"/>
        <v>0</v>
      </c>
      <c r="AF84" s="598">
        <f t="shared" si="2"/>
        <v>0</v>
      </c>
    </row>
    <row r="85" spans="1:32" ht="15" x14ac:dyDescent="0.25">
      <c r="B85" s="11" t="s">
        <v>3724</v>
      </c>
      <c r="C85" s="598">
        <f>J31*(C80+C81+C82)</f>
        <v>0</v>
      </c>
      <c r="D85" s="598">
        <f>$J$31*SUM(D80:D82)</f>
        <v>0</v>
      </c>
      <c r="E85" s="598">
        <f>$J$31*SUM(E80:E82)</f>
        <v>0</v>
      </c>
      <c r="F85" s="598">
        <f>$J$31*SUM(F80:F82)</f>
        <v>0</v>
      </c>
      <c r="G85" s="598">
        <f>$J$31*SUM(G80:G82)</f>
        <v>0</v>
      </c>
      <c r="H85" s="598">
        <f t="shared" ref="H85:AF85" si="3">$J$31*SUM(H80:H82)</f>
        <v>0</v>
      </c>
      <c r="I85" s="598">
        <f t="shared" si="3"/>
        <v>0</v>
      </c>
      <c r="J85" s="598">
        <f t="shared" si="3"/>
        <v>0</v>
      </c>
      <c r="K85" s="598">
        <f t="shared" si="3"/>
        <v>0</v>
      </c>
      <c r="L85" s="598">
        <f t="shared" si="3"/>
        <v>0</v>
      </c>
      <c r="M85" s="598">
        <f t="shared" si="3"/>
        <v>0</v>
      </c>
      <c r="N85" s="598">
        <f t="shared" si="3"/>
        <v>0</v>
      </c>
      <c r="O85" s="598">
        <f t="shared" si="3"/>
        <v>0</v>
      </c>
      <c r="P85" s="598">
        <f t="shared" si="3"/>
        <v>0</v>
      </c>
      <c r="Q85" s="598">
        <f t="shared" si="3"/>
        <v>0</v>
      </c>
      <c r="R85" s="598">
        <f t="shared" si="3"/>
        <v>0</v>
      </c>
      <c r="S85" s="598">
        <f t="shared" si="3"/>
        <v>0</v>
      </c>
      <c r="T85" s="598">
        <f t="shared" si="3"/>
        <v>0</v>
      </c>
      <c r="U85" s="598">
        <f t="shared" si="3"/>
        <v>0</v>
      </c>
      <c r="V85" s="598">
        <f t="shared" si="3"/>
        <v>0</v>
      </c>
      <c r="W85" s="598">
        <f t="shared" si="3"/>
        <v>0</v>
      </c>
      <c r="X85" s="598">
        <f t="shared" si="3"/>
        <v>0</v>
      </c>
      <c r="Y85" s="598">
        <f t="shared" si="3"/>
        <v>0</v>
      </c>
      <c r="Z85" s="598">
        <f t="shared" si="3"/>
        <v>0</v>
      </c>
      <c r="AA85" s="598">
        <f t="shared" si="3"/>
        <v>0</v>
      </c>
      <c r="AB85" s="598">
        <f t="shared" si="3"/>
        <v>0</v>
      </c>
      <c r="AC85" s="598">
        <f t="shared" si="3"/>
        <v>0</v>
      </c>
      <c r="AD85" s="598">
        <f t="shared" si="3"/>
        <v>0</v>
      </c>
      <c r="AE85" s="598">
        <f t="shared" si="3"/>
        <v>0</v>
      </c>
      <c r="AF85" s="598">
        <f t="shared" si="3"/>
        <v>0</v>
      </c>
    </row>
    <row r="86" spans="1:32" ht="15" x14ac:dyDescent="0.25">
      <c r="B86" s="11" t="s">
        <v>3725</v>
      </c>
      <c r="C86" s="599"/>
      <c r="D86" s="598">
        <f>C86*(1+$J$29)</f>
        <v>0</v>
      </c>
      <c r="E86" s="598">
        <f t="shared" ref="E86:T86" si="4">D86*(1+$J$29)</f>
        <v>0</v>
      </c>
      <c r="F86" s="598">
        <f t="shared" si="4"/>
        <v>0</v>
      </c>
      <c r="G86" s="598">
        <f t="shared" si="4"/>
        <v>0</v>
      </c>
      <c r="H86" s="598">
        <f t="shared" si="4"/>
        <v>0</v>
      </c>
      <c r="I86" s="598">
        <f t="shared" si="4"/>
        <v>0</v>
      </c>
      <c r="J86" s="598">
        <f t="shared" si="4"/>
        <v>0</v>
      </c>
      <c r="K86" s="598">
        <f t="shared" si="4"/>
        <v>0</v>
      </c>
      <c r="L86" s="598">
        <f t="shared" si="4"/>
        <v>0</v>
      </c>
      <c r="M86" s="598">
        <f t="shared" si="4"/>
        <v>0</v>
      </c>
      <c r="N86" s="598">
        <f t="shared" si="4"/>
        <v>0</v>
      </c>
      <c r="O86" s="598">
        <f t="shared" si="4"/>
        <v>0</v>
      </c>
      <c r="P86" s="598">
        <f t="shared" si="4"/>
        <v>0</v>
      </c>
      <c r="Q86" s="598">
        <f t="shared" si="4"/>
        <v>0</v>
      </c>
      <c r="R86" s="598">
        <f t="shared" si="4"/>
        <v>0</v>
      </c>
      <c r="S86" s="598">
        <f t="shared" si="4"/>
        <v>0</v>
      </c>
      <c r="T86" s="598">
        <f t="shared" si="4"/>
        <v>0</v>
      </c>
      <c r="U86" s="598">
        <f t="shared" ref="U86:AF86" si="5">T86*(1+$J$29)</f>
        <v>0</v>
      </c>
      <c r="V86" s="598">
        <f t="shared" si="5"/>
        <v>0</v>
      </c>
      <c r="W86" s="598">
        <f t="shared" si="5"/>
        <v>0</v>
      </c>
      <c r="X86" s="598">
        <f t="shared" si="5"/>
        <v>0</v>
      </c>
      <c r="Y86" s="598">
        <f t="shared" si="5"/>
        <v>0</v>
      </c>
      <c r="Z86" s="598">
        <f t="shared" si="5"/>
        <v>0</v>
      </c>
      <c r="AA86" s="598">
        <f t="shared" si="5"/>
        <v>0</v>
      </c>
      <c r="AB86" s="598">
        <f t="shared" si="5"/>
        <v>0</v>
      </c>
      <c r="AC86" s="598">
        <f t="shared" si="5"/>
        <v>0</v>
      </c>
      <c r="AD86" s="598">
        <f t="shared" si="5"/>
        <v>0</v>
      </c>
      <c r="AE86" s="598">
        <f t="shared" si="5"/>
        <v>0</v>
      </c>
      <c r="AF86" s="598">
        <f t="shared" si="5"/>
        <v>0</v>
      </c>
    </row>
    <row r="87" spans="1:32" ht="15" x14ac:dyDescent="0.25">
      <c r="B87" s="11" t="s">
        <v>3243</v>
      </c>
      <c r="C87" s="598">
        <f>SUM(C80:C84)-SUM(C85:C86)</f>
        <v>0</v>
      </c>
      <c r="D87" s="598">
        <f t="shared" ref="D87:AF87" si="6">SUM(D80:D84)-SUM(D85:D86)</f>
        <v>0</v>
      </c>
      <c r="E87" s="598">
        <f t="shared" si="6"/>
        <v>0</v>
      </c>
      <c r="F87" s="598">
        <f t="shared" si="6"/>
        <v>0</v>
      </c>
      <c r="G87" s="598">
        <f t="shared" si="6"/>
        <v>0</v>
      </c>
      <c r="H87" s="598">
        <f t="shared" si="6"/>
        <v>0</v>
      </c>
      <c r="I87" s="598">
        <f t="shared" si="6"/>
        <v>0</v>
      </c>
      <c r="J87" s="598">
        <f t="shared" si="6"/>
        <v>0</v>
      </c>
      <c r="K87" s="598">
        <f t="shared" si="6"/>
        <v>0</v>
      </c>
      <c r="L87" s="598">
        <f t="shared" si="6"/>
        <v>0</v>
      </c>
      <c r="M87" s="598">
        <f t="shared" si="6"/>
        <v>0</v>
      </c>
      <c r="N87" s="598">
        <f t="shared" si="6"/>
        <v>0</v>
      </c>
      <c r="O87" s="598">
        <f t="shared" si="6"/>
        <v>0</v>
      </c>
      <c r="P87" s="598">
        <f t="shared" si="6"/>
        <v>0</v>
      </c>
      <c r="Q87" s="598">
        <f t="shared" si="6"/>
        <v>0</v>
      </c>
      <c r="R87" s="598">
        <f t="shared" si="6"/>
        <v>0</v>
      </c>
      <c r="S87" s="598">
        <f t="shared" si="6"/>
        <v>0</v>
      </c>
      <c r="T87" s="598">
        <f t="shared" si="6"/>
        <v>0</v>
      </c>
      <c r="U87" s="598">
        <f t="shared" si="6"/>
        <v>0</v>
      </c>
      <c r="V87" s="598">
        <f t="shared" si="6"/>
        <v>0</v>
      </c>
      <c r="W87" s="598">
        <f t="shared" si="6"/>
        <v>0</v>
      </c>
      <c r="X87" s="598">
        <f t="shared" si="6"/>
        <v>0</v>
      </c>
      <c r="Y87" s="598">
        <f t="shared" si="6"/>
        <v>0</v>
      </c>
      <c r="Z87" s="598">
        <f t="shared" si="6"/>
        <v>0</v>
      </c>
      <c r="AA87" s="598">
        <f t="shared" si="6"/>
        <v>0</v>
      </c>
      <c r="AB87" s="598">
        <f t="shared" si="6"/>
        <v>0</v>
      </c>
      <c r="AC87" s="598">
        <f t="shared" si="6"/>
        <v>0</v>
      </c>
      <c r="AD87" s="598">
        <f t="shared" si="6"/>
        <v>0</v>
      </c>
      <c r="AE87" s="598">
        <f t="shared" si="6"/>
        <v>0</v>
      </c>
      <c r="AF87" s="598">
        <f t="shared" si="6"/>
        <v>0</v>
      </c>
    </row>
    <row r="88" spans="1:32" x14ac:dyDescent="0.2">
      <c r="C88" s="227"/>
      <c r="D88" s="227"/>
      <c r="E88" s="227"/>
      <c r="F88" s="227"/>
      <c r="G88" s="227"/>
      <c r="H88" s="227"/>
      <c r="I88" s="227"/>
      <c r="J88" s="227"/>
      <c r="K88" s="227"/>
      <c r="L88" s="227"/>
      <c r="M88" s="227"/>
      <c r="N88" s="227"/>
      <c r="O88" s="227"/>
      <c r="P88" s="227"/>
      <c r="Q88" s="227"/>
      <c r="R88" s="227"/>
      <c r="S88" s="227"/>
      <c r="T88" s="227"/>
      <c r="U88" s="227"/>
      <c r="V88" s="227"/>
      <c r="W88" s="227"/>
      <c r="X88" s="227"/>
      <c r="Y88" s="227"/>
      <c r="Z88" s="227"/>
      <c r="AA88" s="227"/>
      <c r="AB88" s="227"/>
      <c r="AC88" s="227"/>
      <c r="AD88" s="227"/>
      <c r="AE88" s="227"/>
      <c r="AF88" s="227"/>
    </row>
    <row r="89" spans="1:32" ht="15" x14ac:dyDescent="0.25">
      <c r="B89" s="11" t="s">
        <v>3726</v>
      </c>
      <c r="C89" s="598">
        <f>J33-J35</f>
        <v>0</v>
      </c>
      <c r="D89" s="598">
        <f>C89*(1+$J$30)</f>
        <v>0</v>
      </c>
      <c r="E89" s="598">
        <f t="shared" ref="E89:AF89" si="7">D89*(1+$J$30)</f>
        <v>0</v>
      </c>
      <c r="F89" s="598">
        <f t="shared" si="7"/>
        <v>0</v>
      </c>
      <c r="G89" s="598">
        <f t="shared" si="7"/>
        <v>0</v>
      </c>
      <c r="H89" s="598">
        <f t="shared" si="7"/>
        <v>0</v>
      </c>
      <c r="I89" s="598">
        <f t="shared" si="7"/>
        <v>0</v>
      </c>
      <c r="J89" s="598">
        <f t="shared" si="7"/>
        <v>0</v>
      </c>
      <c r="K89" s="598">
        <f t="shared" si="7"/>
        <v>0</v>
      </c>
      <c r="L89" s="598">
        <f t="shared" si="7"/>
        <v>0</v>
      </c>
      <c r="M89" s="598">
        <f t="shared" si="7"/>
        <v>0</v>
      </c>
      <c r="N89" s="598">
        <f t="shared" si="7"/>
        <v>0</v>
      </c>
      <c r="O89" s="598">
        <f t="shared" si="7"/>
        <v>0</v>
      </c>
      <c r="P89" s="598">
        <f t="shared" si="7"/>
        <v>0</v>
      </c>
      <c r="Q89" s="598">
        <f t="shared" si="7"/>
        <v>0</v>
      </c>
      <c r="R89" s="598">
        <f t="shared" si="7"/>
        <v>0</v>
      </c>
      <c r="S89" s="598">
        <f t="shared" si="7"/>
        <v>0</v>
      </c>
      <c r="T89" s="598">
        <f t="shared" si="7"/>
        <v>0</v>
      </c>
      <c r="U89" s="598">
        <f t="shared" si="7"/>
        <v>0</v>
      </c>
      <c r="V89" s="598">
        <f t="shared" si="7"/>
        <v>0</v>
      </c>
      <c r="W89" s="598">
        <f t="shared" si="7"/>
        <v>0</v>
      </c>
      <c r="X89" s="598">
        <f t="shared" si="7"/>
        <v>0</v>
      </c>
      <c r="Y89" s="598">
        <f t="shared" si="7"/>
        <v>0</v>
      </c>
      <c r="Z89" s="598">
        <f t="shared" si="7"/>
        <v>0</v>
      </c>
      <c r="AA89" s="598">
        <f t="shared" si="7"/>
        <v>0</v>
      </c>
      <c r="AB89" s="598">
        <f t="shared" si="7"/>
        <v>0</v>
      </c>
      <c r="AC89" s="598">
        <f t="shared" si="7"/>
        <v>0</v>
      </c>
      <c r="AD89" s="598">
        <f t="shared" si="7"/>
        <v>0</v>
      </c>
      <c r="AE89" s="598">
        <f t="shared" si="7"/>
        <v>0</v>
      </c>
      <c r="AF89" s="598">
        <f t="shared" si="7"/>
        <v>0</v>
      </c>
    </row>
    <row r="90" spans="1:32" ht="15" x14ac:dyDescent="0.25">
      <c r="B90" s="11" t="s">
        <v>3727</v>
      </c>
      <c r="C90" s="599"/>
      <c r="D90" s="599"/>
      <c r="E90" s="599"/>
      <c r="F90" s="599"/>
      <c r="G90" s="599"/>
      <c r="H90" s="599"/>
      <c r="I90" s="599"/>
      <c r="J90" s="599"/>
      <c r="K90" s="599"/>
      <c r="L90" s="599"/>
      <c r="M90" s="599"/>
      <c r="N90" s="599"/>
      <c r="O90" s="599"/>
      <c r="P90" s="599"/>
      <c r="Q90" s="599"/>
      <c r="R90" s="599"/>
      <c r="S90" s="599"/>
      <c r="T90" s="599"/>
      <c r="U90" s="599"/>
      <c r="V90" s="599"/>
      <c r="W90" s="599"/>
      <c r="X90" s="599"/>
      <c r="Y90" s="599"/>
      <c r="Z90" s="599"/>
      <c r="AA90" s="599"/>
      <c r="AB90" s="599"/>
      <c r="AC90" s="599"/>
      <c r="AD90" s="599"/>
      <c r="AE90" s="599"/>
      <c r="AF90" s="599"/>
    </row>
    <row r="91" spans="1:32" ht="15" x14ac:dyDescent="0.25">
      <c r="B91" s="11" t="s">
        <v>3728</v>
      </c>
      <c r="C91" s="599"/>
      <c r="D91" s="599"/>
      <c r="E91" s="599"/>
      <c r="F91" s="599"/>
      <c r="G91" s="599"/>
      <c r="H91" s="599"/>
      <c r="I91" s="599"/>
      <c r="J91" s="599"/>
      <c r="K91" s="599"/>
      <c r="L91" s="599"/>
      <c r="M91" s="599"/>
      <c r="N91" s="599"/>
      <c r="O91" s="599"/>
      <c r="P91" s="599"/>
      <c r="Q91" s="599"/>
      <c r="R91" s="599"/>
      <c r="S91" s="599"/>
      <c r="T91" s="599"/>
      <c r="U91" s="599"/>
      <c r="V91" s="599"/>
      <c r="W91" s="599"/>
      <c r="X91" s="599"/>
      <c r="Y91" s="599"/>
      <c r="Z91" s="599"/>
      <c r="AA91" s="599"/>
      <c r="AB91" s="599"/>
      <c r="AC91" s="599"/>
      <c r="AD91" s="599"/>
      <c r="AE91" s="599"/>
      <c r="AF91" s="599"/>
    </row>
    <row r="92" spans="1:32" ht="15" x14ac:dyDescent="0.25">
      <c r="B92" s="11" t="s">
        <v>4858</v>
      </c>
      <c r="C92" s="598">
        <f>J35</f>
        <v>0</v>
      </c>
      <c r="D92" s="598">
        <f>C92*(1+$J$30)</f>
        <v>0</v>
      </c>
      <c r="E92" s="598">
        <f t="shared" ref="E92:AF92" si="8">D92*(1+$J$30)</f>
        <v>0</v>
      </c>
      <c r="F92" s="598">
        <f t="shared" si="8"/>
        <v>0</v>
      </c>
      <c r="G92" s="598">
        <f t="shared" si="8"/>
        <v>0</v>
      </c>
      <c r="H92" s="598">
        <f t="shared" si="8"/>
        <v>0</v>
      </c>
      <c r="I92" s="598">
        <f t="shared" si="8"/>
        <v>0</v>
      </c>
      <c r="J92" s="598">
        <f t="shared" si="8"/>
        <v>0</v>
      </c>
      <c r="K92" s="598">
        <f t="shared" si="8"/>
        <v>0</v>
      </c>
      <c r="L92" s="598">
        <f t="shared" si="8"/>
        <v>0</v>
      </c>
      <c r="M92" s="598">
        <f t="shared" si="8"/>
        <v>0</v>
      </c>
      <c r="N92" s="598">
        <f t="shared" si="8"/>
        <v>0</v>
      </c>
      <c r="O92" s="598">
        <f t="shared" si="8"/>
        <v>0</v>
      </c>
      <c r="P92" s="598">
        <f t="shared" si="8"/>
        <v>0</v>
      </c>
      <c r="Q92" s="598">
        <f t="shared" si="8"/>
        <v>0</v>
      </c>
      <c r="R92" s="598">
        <f t="shared" si="8"/>
        <v>0</v>
      </c>
      <c r="S92" s="598">
        <f t="shared" si="8"/>
        <v>0</v>
      </c>
      <c r="T92" s="598">
        <f t="shared" si="8"/>
        <v>0</v>
      </c>
      <c r="U92" s="598">
        <f t="shared" si="8"/>
        <v>0</v>
      </c>
      <c r="V92" s="598">
        <f t="shared" si="8"/>
        <v>0</v>
      </c>
      <c r="W92" s="598">
        <f t="shared" si="8"/>
        <v>0</v>
      </c>
      <c r="X92" s="598">
        <f t="shared" si="8"/>
        <v>0</v>
      </c>
      <c r="Y92" s="598">
        <f t="shared" si="8"/>
        <v>0</v>
      </c>
      <c r="Z92" s="598">
        <f t="shared" si="8"/>
        <v>0</v>
      </c>
      <c r="AA92" s="598">
        <f t="shared" si="8"/>
        <v>0</v>
      </c>
      <c r="AB92" s="598">
        <f t="shared" si="8"/>
        <v>0</v>
      </c>
      <c r="AC92" s="598">
        <f t="shared" si="8"/>
        <v>0</v>
      </c>
      <c r="AD92" s="598">
        <f t="shared" si="8"/>
        <v>0</v>
      </c>
      <c r="AE92" s="598">
        <f t="shared" si="8"/>
        <v>0</v>
      </c>
      <c r="AF92" s="598">
        <f t="shared" si="8"/>
        <v>0</v>
      </c>
    </row>
    <row r="93" spans="1:32" x14ac:dyDescent="0.2">
      <c r="C93" s="227"/>
      <c r="D93" s="227"/>
      <c r="E93" s="227"/>
      <c r="F93" s="227"/>
      <c r="G93" s="227"/>
      <c r="H93" s="227"/>
      <c r="I93" s="227"/>
      <c r="J93" s="227"/>
      <c r="K93" s="227"/>
      <c r="L93" s="227"/>
      <c r="M93" s="227"/>
      <c r="N93" s="227"/>
      <c r="O93" s="227"/>
      <c r="P93" s="227"/>
      <c r="Q93" s="227"/>
      <c r="R93" s="227"/>
      <c r="S93" s="227"/>
      <c r="T93" s="227"/>
      <c r="U93" s="227"/>
      <c r="V93" s="227"/>
      <c r="W93" s="227"/>
      <c r="X93" s="227"/>
      <c r="Y93" s="227"/>
      <c r="Z93" s="227"/>
      <c r="AA93" s="227"/>
      <c r="AB93" s="227"/>
      <c r="AC93" s="227"/>
      <c r="AD93" s="227"/>
      <c r="AE93" s="227"/>
      <c r="AF93" s="227"/>
    </row>
    <row r="94" spans="1:32" ht="15" x14ac:dyDescent="0.25">
      <c r="B94" s="11" t="s">
        <v>3308</v>
      </c>
      <c r="C94" s="598">
        <f>C87-SUM(C89:C92)</f>
        <v>0</v>
      </c>
      <c r="D94" s="598">
        <f>D87-SUM(D89:D92)</f>
        <v>0</v>
      </c>
      <c r="E94" s="598">
        <f t="shared" ref="E94:AF94" si="9">E87-SUM(E89:E92)</f>
        <v>0</v>
      </c>
      <c r="F94" s="598">
        <f t="shared" si="9"/>
        <v>0</v>
      </c>
      <c r="G94" s="598">
        <f t="shared" si="9"/>
        <v>0</v>
      </c>
      <c r="H94" s="598">
        <f t="shared" si="9"/>
        <v>0</v>
      </c>
      <c r="I94" s="598">
        <f t="shared" si="9"/>
        <v>0</v>
      </c>
      <c r="J94" s="598">
        <f t="shared" si="9"/>
        <v>0</v>
      </c>
      <c r="K94" s="598">
        <f t="shared" si="9"/>
        <v>0</v>
      </c>
      <c r="L94" s="598">
        <f t="shared" si="9"/>
        <v>0</v>
      </c>
      <c r="M94" s="598">
        <f t="shared" si="9"/>
        <v>0</v>
      </c>
      <c r="N94" s="598">
        <f t="shared" si="9"/>
        <v>0</v>
      </c>
      <c r="O94" s="598">
        <f t="shared" si="9"/>
        <v>0</v>
      </c>
      <c r="P94" s="598">
        <f t="shared" si="9"/>
        <v>0</v>
      </c>
      <c r="Q94" s="598">
        <f t="shared" si="9"/>
        <v>0</v>
      </c>
      <c r="R94" s="598">
        <f t="shared" si="9"/>
        <v>0</v>
      </c>
      <c r="S94" s="598">
        <f t="shared" si="9"/>
        <v>0</v>
      </c>
      <c r="T94" s="598">
        <f t="shared" si="9"/>
        <v>0</v>
      </c>
      <c r="U94" s="598">
        <f t="shared" si="9"/>
        <v>0</v>
      </c>
      <c r="V94" s="598">
        <f t="shared" si="9"/>
        <v>0</v>
      </c>
      <c r="W94" s="598">
        <f t="shared" si="9"/>
        <v>0</v>
      </c>
      <c r="X94" s="598">
        <f t="shared" si="9"/>
        <v>0</v>
      </c>
      <c r="Y94" s="598">
        <f t="shared" si="9"/>
        <v>0</v>
      </c>
      <c r="Z94" s="598">
        <f t="shared" si="9"/>
        <v>0</v>
      </c>
      <c r="AA94" s="598">
        <f t="shared" si="9"/>
        <v>0</v>
      </c>
      <c r="AB94" s="598">
        <f t="shared" si="9"/>
        <v>0</v>
      </c>
      <c r="AC94" s="598">
        <f t="shared" si="9"/>
        <v>0</v>
      </c>
      <c r="AD94" s="598">
        <f t="shared" si="9"/>
        <v>0</v>
      </c>
      <c r="AE94" s="598">
        <f t="shared" si="9"/>
        <v>0</v>
      </c>
      <c r="AF94" s="598">
        <f t="shared" si="9"/>
        <v>0</v>
      </c>
    </row>
    <row r="96" spans="1:32" ht="15" x14ac:dyDescent="0.25">
      <c r="A96" s="5" t="s">
        <v>4052</v>
      </c>
      <c r="B96" s="11" t="str">
        <f>K23</f>
        <v>N/A</v>
      </c>
      <c r="C96" s="226">
        <f>L23</f>
        <v>0</v>
      </c>
      <c r="D96" s="226">
        <f>$C$96</f>
        <v>0</v>
      </c>
      <c r="E96" s="226">
        <f t="shared" ref="E96:AF96" si="10">$C$96</f>
        <v>0</v>
      </c>
      <c r="F96" s="226">
        <f t="shared" si="10"/>
        <v>0</v>
      </c>
      <c r="G96" s="226">
        <f t="shared" si="10"/>
        <v>0</v>
      </c>
      <c r="H96" s="226">
        <f t="shared" si="10"/>
        <v>0</v>
      </c>
      <c r="I96" s="226">
        <f t="shared" si="10"/>
        <v>0</v>
      </c>
      <c r="J96" s="226">
        <f t="shared" si="10"/>
        <v>0</v>
      </c>
      <c r="K96" s="226">
        <f t="shared" si="10"/>
        <v>0</v>
      </c>
      <c r="L96" s="226">
        <f t="shared" si="10"/>
        <v>0</v>
      </c>
      <c r="M96" s="226">
        <f t="shared" si="10"/>
        <v>0</v>
      </c>
      <c r="N96" s="226">
        <f t="shared" si="10"/>
        <v>0</v>
      </c>
      <c r="O96" s="226">
        <f t="shared" si="10"/>
        <v>0</v>
      </c>
      <c r="P96" s="226">
        <f t="shared" si="10"/>
        <v>0</v>
      </c>
      <c r="Q96" s="226">
        <f t="shared" si="10"/>
        <v>0</v>
      </c>
      <c r="R96" s="226">
        <f t="shared" si="10"/>
        <v>0</v>
      </c>
      <c r="S96" s="226">
        <f t="shared" si="10"/>
        <v>0</v>
      </c>
      <c r="T96" s="226">
        <f t="shared" si="10"/>
        <v>0</v>
      </c>
      <c r="U96" s="226">
        <f t="shared" si="10"/>
        <v>0</v>
      </c>
      <c r="V96" s="226">
        <f t="shared" si="10"/>
        <v>0</v>
      </c>
      <c r="W96" s="226">
        <f t="shared" si="10"/>
        <v>0</v>
      </c>
      <c r="X96" s="226">
        <f t="shared" si="10"/>
        <v>0</v>
      </c>
      <c r="Y96" s="226">
        <f t="shared" si="10"/>
        <v>0</v>
      </c>
      <c r="Z96" s="226">
        <f t="shared" si="10"/>
        <v>0</v>
      </c>
      <c r="AA96" s="226">
        <f t="shared" si="10"/>
        <v>0</v>
      </c>
      <c r="AB96" s="226">
        <f t="shared" si="10"/>
        <v>0</v>
      </c>
      <c r="AC96" s="226">
        <f t="shared" si="10"/>
        <v>0</v>
      </c>
      <c r="AD96" s="226">
        <f t="shared" si="10"/>
        <v>0</v>
      </c>
      <c r="AE96" s="226">
        <f t="shared" si="10"/>
        <v>0</v>
      </c>
      <c r="AF96" s="226">
        <f t="shared" si="10"/>
        <v>0</v>
      </c>
    </row>
    <row r="97" spans="1:32" ht="15" x14ac:dyDescent="0.25">
      <c r="A97" s="5" t="s">
        <v>4053</v>
      </c>
      <c r="B97" s="11" t="str">
        <f>K24</f>
        <v>N/A</v>
      </c>
      <c r="C97" s="226">
        <f>L24</f>
        <v>0</v>
      </c>
      <c r="D97" s="226">
        <f>$C$97</f>
        <v>0</v>
      </c>
      <c r="E97" s="226">
        <f t="shared" ref="E97:AF97" si="11">$C$97</f>
        <v>0</v>
      </c>
      <c r="F97" s="226">
        <f t="shared" si="11"/>
        <v>0</v>
      </c>
      <c r="G97" s="226">
        <f t="shared" si="11"/>
        <v>0</v>
      </c>
      <c r="H97" s="226">
        <f t="shared" si="11"/>
        <v>0</v>
      </c>
      <c r="I97" s="226">
        <f t="shared" si="11"/>
        <v>0</v>
      </c>
      <c r="J97" s="226">
        <f t="shared" si="11"/>
        <v>0</v>
      </c>
      <c r="K97" s="226">
        <f t="shared" si="11"/>
        <v>0</v>
      </c>
      <c r="L97" s="226">
        <f t="shared" si="11"/>
        <v>0</v>
      </c>
      <c r="M97" s="226">
        <f t="shared" si="11"/>
        <v>0</v>
      </c>
      <c r="N97" s="226">
        <f t="shared" si="11"/>
        <v>0</v>
      </c>
      <c r="O97" s="226">
        <f t="shared" si="11"/>
        <v>0</v>
      </c>
      <c r="P97" s="226">
        <f t="shared" si="11"/>
        <v>0</v>
      </c>
      <c r="Q97" s="226">
        <f t="shared" si="11"/>
        <v>0</v>
      </c>
      <c r="R97" s="226">
        <f t="shared" si="11"/>
        <v>0</v>
      </c>
      <c r="S97" s="226">
        <f t="shared" si="11"/>
        <v>0</v>
      </c>
      <c r="T97" s="226">
        <f t="shared" si="11"/>
        <v>0</v>
      </c>
      <c r="U97" s="226">
        <f t="shared" si="11"/>
        <v>0</v>
      </c>
      <c r="V97" s="226">
        <f t="shared" si="11"/>
        <v>0</v>
      </c>
      <c r="W97" s="226">
        <f t="shared" si="11"/>
        <v>0</v>
      </c>
      <c r="X97" s="226">
        <f t="shared" si="11"/>
        <v>0</v>
      </c>
      <c r="Y97" s="226">
        <f t="shared" si="11"/>
        <v>0</v>
      </c>
      <c r="Z97" s="226">
        <f t="shared" si="11"/>
        <v>0</v>
      </c>
      <c r="AA97" s="226">
        <f t="shared" si="11"/>
        <v>0</v>
      </c>
      <c r="AB97" s="226">
        <f t="shared" si="11"/>
        <v>0</v>
      </c>
      <c r="AC97" s="226">
        <f t="shared" si="11"/>
        <v>0</v>
      </c>
      <c r="AD97" s="226">
        <f t="shared" si="11"/>
        <v>0</v>
      </c>
      <c r="AE97" s="226">
        <f t="shared" si="11"/>
        <v>0</v>
      </c>
      <c r="AF97" s="226">
        <f t="shared" si="11"/>
        <v>0</v>
      </c>
    </row>
    <row r="98" spans="1:32" ht="15" x14ac:dyDescent="0.25">
      <c r="A98" s="5" t="s">
        <v>4054</v>
      </c>
      <c r="B98" s="11" t="str">
        <f t="shared" ref="B98:B105" si="12">K25</f>
        <v>Deferred Developer Fee</v>
      </c>
      <c r="C98" s="226">
        <f t="shared" ref="C98:C105" si="13">IF(L25&gt;0,MAX(IF((C$94-(C$96+C$97))&lt;SUM($L$25:$L$32),IF(((C$94-(C$96+C$97))*$L25/SUM($L$25:$L$32))&lt;$L25,(C$94-(C$96+C$97))*$L25/SUM($L$25:$L$32),$L25),$L25),0),0)</f>
        <v>0</v>
      </c>
      <c r="D98" s="226">
        <f t="shared" ref="D98:AF98" si="14">MAX(IF((D$94-(D$96+D$97))&lt;SUM($L$25:$L$32),IF(((D$94-(D$96+D$97))*$L25/SUM($L$25:$L$32))&lt;$L25,(D$94-(D$96+D$97))*$L25/SUM($L$25:$L$32),$L25),$L25),0)</f>
        <v>0</v>
      </c>
      <c r="E98" s="226">
        <f t="shared" si="14"/>
        <v>0</v>
      </c>
      <c r="F98" s="226">
        <f t="shared" si="14"/>
        <v>0</v>
      </c>
      <c r="G98" s="226">
        <f t="shared" si="14"/>
        <v>0</v>
      </c>
      <c r="H98" s="226">
        <f t="shared" si="14"/>
        <v>0</v>
      </c>
      <c r="I98" s="226">
        <f t="shared" si="14"/>
        <v>0</v>
      </c>
      <c r="J98" s="226">
        <f t="shared" si="14"/>
        <v>0</v>
      </c>
      <c r="K98" s="226">
        <f t="shared" si="14"/>
        <v>0</v>
      </c>
      <c r="L98" s="226">
        <f t="shared" si="14"/>
        <v>0</v>
      </c>
      <c r="M98" s="226">
        <f t="shared" si="14"/>
        <v>0</v>
      </c>
      <c r="N98" s="226">
        <f t="shared" si="14"/>
        <v>0</v>
      </c>
      <c r="O98" s="226">
        <f t="shared" si="14"/>
        <v>0</v>
      </c>
      <c r="P98" s="226">
        <f t="shared" si="14"/>
        <v>0</v>
      </c>
      <c r="Q98" s="226">
        <f t="shared" si="14"/>
        <v>0</v>
      </c>
      <c r="R98" s="226">
        <f t="shared" si="14"/>
        <v>0</v>
      </c>
      <c r="S98" s="226">
        <f t="shared" si="14"/>
        <v>0</v>
      </c>
      <c r="T98" s="226">
        <f t="shared" si="14"/>
        <v>0</v>
      </c>
      <c r="U98" s="226">
        <f t="shared" si="14"/>
        <v>0</v>
      </c>
      <c r="V98" s="226">
        <f t="shared" si="14"/>
        <v>0</v>
      </c>
      <c r="W98" s="226">
        <f t="shared" si="14"/>
        <v>0</v>
      </c>
      <c r="X98" s="226">
        <f t="shared" si="14"/>
        <v>0</v>
      </c>
      <c r="Y98" s="226">
        <f t="shared" si="14"/>
        <v>0</v>
      </c>
      <c r="Z98" s="226">
        <f t="shared" si="14"/>
        <v>0</v>
      </c>
      <c r="AA98" s="226">
        <f t="shared" si="14"/>
        <v>0</v>
      </c>
      <c r="AB98" s="226">
        <f t="shared" si="14"/>
        <v>0</v>
      </c>
      <c r="AC98" s="226">
        <f t="shared" si="14"/>
        <v>0</v>
      </c>
      <c r="AD98" s="226">
        <f t="shared" si="14"/>
        <v>0</v>
      </c>
      <c r="AE98" s="226">
        <f t="shared" si="14"/>
        <v>0</v>
      </c>
      <c r="AF98" s="226">
        <f t="shared" si="14"/>
        <v>0</v>
      </c>
    </row>
    <row r="99" spans="1:32" ht="15" x14ac:dyDescent="0.25">
      <c r="A99" s="5" t="s">
        <v>3104</v>
      </c>
      <c r="B99" s="11" t="str">
        <f t="shared" si="12"/>
        <v>HDAP: OHTF or HOME</v>
      </c>
      <c r="C99" s="226">
        <f t="shared" si="13"/>
        <v>0</v>
      </c>
      <c r="D99" s="226">
        <f t="shared" ref="D99:AF99" si="15">MAX(IF((D$94-(D$96+D$97))&lt;SUM($L$25:$L$32),IF(((D$94-(D$96+D$97))*$L26/SUM($L$25:$L$32))&lt;$L26,(D$94-(D$96+D$97))*$L26/SUM($L$25:$L$32),$L26),$L26),0)</f>
        <v>0</v>
      </c>
      <c r="E99" s="226">
        <f t="shared" si="15"/>
        <v>0</v>
      </c>
      <c r="F99" s="226">
        <f t="shared" si="15"/>
        <v>0</v>
      </c>
      <c r="G99" s="226">
        <f t="shared" si="15"/>
        <v>0</v>
      </c>
      <c r="H99" s="226">
        <f t="shared" si="15"/>
        <v>0</v>
      </c>
      <c r="I99" s="226">
        <f t="shared" si="15"/>
        <v>0</v>
      </c>
      <c r="J99" s="226">
        <f t="shared" si="15"/>
        <v>0</v>
      </c>
      <c r="K99" s="226">
        <f t="shared" si="15"/>
        <v>0</v>
      </c>
      <c r="L99" s="226">
        <f t="shared" si="15"/>
        <v>0</v>
      </c>
      <c r="M99" s="226">
        <f t="shared" si="15"/>
        <v>0</v>
      </c>
      <c r="N99" s="226">
        <f t="shared" si="15"/>
        <v>0</v>
      </c>
      <c r="O99" s="226">
        <f t="shared" si="15"/>
        <v>0</v>
      </c>
      <c r="P99" s="226">
        <f t="shared" si="15"/>
        <v>0</v>
      </c>
      <c r="Q99" s="226">
        <f t="shared" si="15"/>
        <v>0</v>
      </c>
      <c r="R99" s="226">
        <f t="shared" si="15"/>
        <v>0</v>
      </c>
      <c r="S99" s="226">
        <f t="shared" si="15"/>
        <v>0</v>
      </c>
      <c r="T99" s="226">
        <f t="shared" si="15"/>
        <v>0</v>
      </c>
      <c r="U99" s="226">
        <f t="shared" si="15"/>
        <v>0</v>
      </c>
      <c r="V99" s="226">
        <f t="shared" si="15"/>
        <v>0</v>
      </c>
      <c r="W99" s="226">
        <f t="shared" si="15"/>
        <v>0</v>
      </c>
      <c r="X99" s="226">
        <f t="shared" si="15"/>
        <v>0</v>
      </c>
      <c r="Y99" s="226">
        <f t="shared" si="15"/>
        <v>0</v>
      </c>
      <c r="Z99" s="226">
        <f t="shared" si="15"/>
        <v>0</v>
      </c>
      <c r="AA99" s="226">
        <f t="shared" si="15"/>
        <v>0</v>
      </c>
      <c r="AB99" s="226">
        <f t="shared" si="15"/>
        <v>0</v>
      </c>
      <c r="AC99" s="226">
        <f t="shared" si="15"/>
        <v>0</v>
      </c>
      <c r="AD99" s="226">
        <f t="shared" si="15"/>
        <v>0</v>
      </c>
      <c r="AE99" s="226">
        <f t="shared" si="15"/>
        <v>0</v>
      </c>
      <c r="AF99" s="226">
        <f t="shared" si="15"/>
        <v>0</v>
      </c>
    </row>
    <row r="100" spans="1:32" ht="15" x14ac:dyDescent="0.25">
      <c r="A100" s="5" t="s">
        <v>4055</v>
      </c>
      <c r="B100" s="11" t="str">
        <f t="shared" si="12"/>
        <v>HDAP: NHTF</v>
      </c>
      <c r="C100" s="226">
        <f t="shared" si="13"/>
        <v>0</v>
      </c>
      <c r="D100" s="226">
        <f t="shared" ref="D100:AF100" si="16">MAX(IF((D$94-(D$96+D$97))&lt;SUM($L$25:$L$32),IF(((D$94-(D$96+D$97))*$L27/SUM($L$25:$L$32))&lt;$L27,(D$94-(D$96+D$97))*$L27/SUM($L$25:$L$32),$L27),$L27),0)</f>
        <v>0</v>
      </c>
      <c r="E100" s="226">
        <f t="shared" si="16"/>
        <v>0</v>
      </c>
      <c r="F100" s="226">
        <f t="shared" si="16"/>
        <v>0</v>
      </c>
      <c r="G100" s="226">
        <f t="shared" si="16"/>
        <v>0</v>
      </c>
      <c r="H100" s="226">
        <f t="shared" si="16"/>
        <v>0</v>
      </c>
      <c r="I100" s="226">
        <f t="shared" si="16"/>
        <v>0</v>
      </c>
      <c r="J100" s="226">
        <f t="shared" si="16"/>
        <v>0</v>
      </c>
      <c r="K100" s="226">
        <f t="shared" si="16"/>
        <v>0</v>
      </c>
      <c r="L100" s="226">
        <f t="shared" si="16"/>
        <v>0</v>
      </c>
      <c r="M100" s="226">
        <f t="shared" si="16"/>
        <v>0</v>
      </c>
      <c r="N100" s="226">
        <f t="shared" si="16"/>
        <v>0</v>
      </c>
      <c r="O100" s="226">
        <f t="shared" si="16"/>
        <v>0</v>
      </c>
      <c r="P100" s="226">
        <f t="shared" si="16"/>
        <v>0</v>
      </c>
      <c r="Q100" s="226">
        <f t="shared" si="16"/>
        <v>0</v>
      </c>
      <c r="R100" s="226">
        <f t="shared" si="16"/>
        <v>0</v>
      </c>
      <c r="S100" s="226">
        <f t="shared" si="16"/>
        <v>0</v>
      </c>
      <c r="T100" s="226">
        <f t="shared" si="16"/>
        <v>0</v>
      </c>
      <c r="U100" s="226">
        <f t="shared" si="16"/>
        <v>0</v>
      </c>
      <c r="V100" s="226">
        <f t="shared" si="16"/>
        <v>0</v>
      </c>
      <c r="W100" s="226">
        <f t="shared" si="16"/>
        <v>0</v>
      </c>
      <c r="X100" s="226">
        <f t="shared" si="16"/>
        <v>0</v>
      </c>
      <c r="Y100" s="226">
        <f t="shared" si="16"/>
        <v>0</v>
      </c>
      <c r="Z100" s="226">
        <f t="shared" si="16"/>
        <v>0</v>
      </c>
      <c r="AA100" s="226">
        <f t="shared" si="16"/>
        <v>0</v>
      </c>
      <c r="AB100" s="226">
        <f t="shared" si="16"/>
        <v>0</v>
      </c>
      <c r="AC100" s="226">
        <f t="shared" si="16"/>
        <v>0</v>
      </c>
      <c r="AD100" s="226">
        <f t="shared" si="16"/>
        <v>0</v>
      </c>
      <c r="AE100" s="226">
        <f t="shared" si="16"/>
        <v>0</v>
      </c>
      <c r="AF100" s="226">
        <f t="shared" si="16"/>
        <v>0</v>
      </c>
    </row>
    <row r="101" spans="1:32" ht="15" x14ac:dyDescent="0.25">
      <c r="A101" s="5" t="s">
        <v>3303</v>
      </c>
      <c r="B101" s="11" t="str">
        <f t="shared" si="12"/>
        <v>N/A</v>
      </c>
      <c r="C101" s="226">
        <f t="shared" si="13"/>
        <v>0</v>
      </c>
      <c r="D101" s="226">
        <f t="shared" ref="D101:AF101" si="17">MAX(IF((D$94-(D$96+D$97))&lt;SUM($L$25:$L$32),IF(((D$94-(D$96+D$97))*$L28/SUM($L$25:$L$32))&lt;$L28,(D$94-(D$96+D$97))*$L28/SUM($L$25:$L$32),$L28),$L28),0)</f>
        <v>0</v>
      </c>
      <c r="E101" s="226">
        <f t="shared" si="17"/>
        <v>0</v>
      </c>
      <c r="F101" s="226">
        <f t="shared" si="17"/>
        <v>0</v>
      </c>
      <c r="G101" s="226">
        <f t="shared" si="17"/>
        <v>0</v>
      </c>
      <c r="H101" s="226">
        <f t="shared" si="17"/>
        <v>0</v>
      </c>
      <c r="I101" s="226">
        <f t="shared" si="17"/>
        <v>0</v>
      </c>
      <c r="J101" s="226">
        <f t="shared" si="17"/>
        <v>0</v>
      </c>
      <c r="K101" s="226">
        <f t="shared" si="17"/>
        <v>0</v>
      </c>
      <c r="L101" s="226">
        <f t="shared" si="17"/>
        <v>0</v>
      </c>
      <c r="M101" s="226">
        <f t="shared" si="17"/>
        <v>0</v>
      </c>
      <c r="N101" s="226">
        <f t="shared" si="17"/>
        <v>0</v>
      </c>
      <c r="O101" s="226">
        <f t="shared" si="17"/>
        <v>0</v>
      </c>
      <c r="P101" s="226">
        <f t="shared" si="17"/>
        <v>0</v>
      </c>
      <c r="Q101" s="226">
        <f t="shared" si="17"/>
        <v>0</v>
      </c>
      <c r="R101" s="226">
        <f t="shared" si="17"/>
        <v>0</v>
      </c>
      <c r="S101" s="226">
        <f t="shared" si="17"/>
        <v>0</v>
      </c>
      <c r="T101" s="226">
        <f t="shared" si="17"/>
        <v>0</v>
      </c>
      <c r="U101" s="226">
        <f t="shared" si="17"/>
        <v>0</v>
      </c>
      <c r="V101" s="226">
        <f t="shared" si="17"/>
        <v>0</v>
      </c>
      <c r="W101" s="226">
        <f t="shared" si="17"/>
        <v>0</v>
      </c>
      <c r="X101" s="226">
        <f t="shared" si="17"/>
        <v>0</v>
      </c>
      <c r="Y101" s="226">
        <f t="shared" si="17"/>
        <v>0</v>
      </c>
      <c r="Z101" s="226">
        <f t="shared" si="17"/>
        <v>0</v>
      </c>
      <c r="AA101" s="226">
        <f t="shared" si="17"/>
        <v>0</v>
      </c>
      <c r="AB101" s="226">
        <f t="shared" si="17"/>
        <v>0</v>
      </c>
      <c r="AC101" s="226">
        <f t="shared" si="17"/>
        <v>0</v>
      </c>
      <c r="AD101" s="226">
        <f t="shared" si="17"/>
        <v>0</v>
      </c>
      <c r="AE101" s="226">
        <f t="shared" si="17"/>
        <v>0</v>
      </c>
      <c r="AF101" s="226">
        <f t="shared" si="17"/>
        <v>0</v>
      </c>
    </row>
    <row r="102" spans="1:32" ht="15" x14ac:dyDescent="0.25">
      <c r="A102" s="5" t="s">
        <v>3304</v>
      </c>
      <c r="B102" s="11" t="str">
        <f t="shared" si="12"/>
        <v>N/A</v>
      </c>
      <c r="C102" s="226">
        <f t="shared" si="13"/>
        <v>0</v>
      </c>
      <c r="D102" s="226">
        <f t="shared" ref="D102:AF102" si="18">MAX(IF((D$94-(D$96+D$97))&lt;SUM($L$25:$L$32),IF(((D$94-(D$96+D$97))*$L29/SUM($L$25:$L$32))&lt;$L29,(D$94-(D$96+D$97))*$L29/SUM($L$25:$L$32),$L29),$L29),0)</f>
        <v>0</v>
      </c>
      <c r="E102" s="226">
        <f t="shared" si="18"/>
        <v>0</v>
      </c>
      <c r="F102" s="226">
        <f t="shared" si="18"/>
        <v>0</v>
      </c>
      <c r="G102" s="226">
        <f t="shared" si="18"/>
        <v>0</v>
      </c>
      <c r="H102" s="226">
        <f t="shared" si="18"/>
        <v>0</v>
      </c>
      <c r="I102" s="226">
        <f t="shared" si="18"/>
        <v>0</v>
      </c>
      <c r="J102" s="226">
        <f t="shared" si="18"/>
        <v>0</v>
      </c>
      <c r="K102" s="226">
        <f t="shared" si="18"/>
        <v>0</v>
      </c>
      <c r="L102" s="226">
        <f t="shared" si="18"/>
        <v>0</v>
      </c>
      <c r="M102" s="226">
        <f t="shared" si="18"/>
        <v>0</v>
      </c>
      <c r="N102" s="226">
        <f t="shared" si="18"/>
        <v>0</v>
      </c>
      <c r="O102" s="226">
        <f t="shared" si="18"/>
        <v>0</v>
      </c>
      <c r="P102" s="226">
        <f t="shared" si="18"/>
        <v>0</v>
      </c>
      <c r="Q102" s="226">
        <f t="shared" si="18"/>
        <v>0</v>
      </c>
      <c r="R102" s="226">
        <f t="shared" si="18"/>
        <v>0</v>
      </c>
      <c r="S102" s="226">
        <f t="shared" si="18"/>
        <v>0</v>
      </c>
      <c r="T102" s="226">
        <f t="shared" si="18"/>
        <v>0</v>
      </c>
      <c r="U102" s="226">
        <f t="shared" si="18"/>
        <v>0</v>
      </c>
      <c r="V102" s="226">
        <f t="shared" si="18"/>
        <v>0</v>
      </c>
      <c r="W102" s="226">
        <f t="shared" si="18"/>
        <v>0</v>
      </c>
      <c r="X102" s="226">
        <f t="shared" si="18"/>
        <v>0</v>
      </c>
      <c r="Y102" s="226">
        <f t="shared" si="18"/>
        <v>0</v>
      </c>
      <c r="Z102" s="226">
        <f t="shared" si="18"/>
        <v>0</v>
      </c>
      <c r="AA102" s="226">
        <f t="shared" si="18"/>
        <v>0</v>
      </c>
      <c r="AB102" s="226">
        <f t="shared" si="18"/>
        <v>0</v>
      </c>
      <c r="AC102" s="226">
        <f t="shared" si="18"/>
        <v>0</v>
      </c>
      <c r="AD102" s="226">
        <f t="shared" si="18"/>
        <v>0</v>
      </c>
      <c r="AE102" s="226">
        <f t="shared" si="18"/>
        <v>0</v>
      </c>
      <c r="AF102" s="226">
        <f t="shared" si="18"/>
        <v>0</v>
      </c>
    </row>
    <row r="103" spans="1:32" ht="15" x14ac:dyDescent="0.25">
      <c r="A103" s="5" t="s">
        <v>3306</v>
      </c>
      <c r="B103" s="11" t="str">
        <f t="shared" si="12"/>
        <v>N/A</v>
      </c>
      <c r="C103" s="226">
        <f t="shared" si="13"/>
        <v>0</v>
      </c>
      <c r="D103" s="226">
        <f t="shared" ref="D103:AF103" si="19">MAX(IF((D$94-(D$96+D$97))&lt;SUM($L$25:$L$32),IF(((D$94-(D$96+D$97))*$L30/SUM($L$25:$L$32))&lt;$L30,(D$94-(D$96+D$97))*$L30/SUM($L$25:$L$32),$L30),$L30),0)</f>
        <v>0</v>
      </c>
      <c r="E103" s="226">
        <f t="shared" si="19"/>
        <v>0</v>
      </c>
      <c r="F103" s="226">
        <f t="shared" si="19"/>
        <v>0</v>
      </c>
      <c r="G103" s="226">
        <f t="shared" si="19"/>
        <v>0</v>
      </c>
      <c r="H103" s="226">
        <f t="shared" si="19"/>
        <v>0</v>
      </c>
      <c r="I103" s="226">
        <f t="shared" si="19"/>
        <v>0</v>
      </c>
      <c r="J103" s="226">
        <f t="shared" si="19"/>
        <v>0</v>
      </c>
      <c r="K103" s="226">
        <f t="shared" si="19"/>
        <v>0</v>
      </c>
      <c r="L103" s="226">
        <f t="shared" si="19"/>
        <v>0</v>
      </c>
      <c r="M103" s="226">
        <f t="shared" si="19"/>
        <v>0</v>
      </c>
      <c r="N103" s="226">
        <f t="shared" si="19"/>
        <v>0</v>
      </c>
      <c r="O103" s="226">
        <f t="shared" si="19"/>
        <v>0</v>
      </c>
      <c r="P103" s="226">
        <f t="shared" si="19"/>
        <v>0</v>
      </c>
      <c r="Q103" s="226">
        <f t="shared" si="19"/>
        <v>0</v>
      </c>
      <c r="R103" s="226">
        <f t="shared" si="19"/>
        <v>0</v>
      </c>
      <c r="S103" s="226">
        <f t="shared" si="19"/>
        <v>0</v>
      </c>
      <c r="T103" s="226">
        <f t="shared" si="19"/>
        <v>0</v>
      </c>
      <c r="U103" s="226">
        <f t="shared" si="19"/>
        <v>0</v>
      </c>
      <c r="V103" s="226">
        <f t="shared" si="19"/>
        <v>0</v>
      </c>
      <c r="W103" s="226">
        <f t="shared" si="19"/>
        <v>0</v>
      </c>
      <c r="X103" s="226">
        <f t="shared" si="19"/>
        <v>0</v>
      </c>
      <c r="Y103" s="226">
        <f t="shared" si="19"/>
        <v>0</v>
      </c>
      <c r="Z103" s="226">
        <f t="shared" si="19"/>
        <v>0</v>
      </c>
      <c r="AA103" s="226">
        <f t="shared" si="19"/>
        <v>0</v>
      </c>
      <c r="AB103" s="226">
        <f t="shared" si="19"/>
        <v>0</v>
      </c>
      <c r="AC103" s="226">
        <f t="shared" si="19"/>
        <v>0</v>
      </c>
      <c r="AD103" s="226">
        <f t="shared" si="19"/>
        <v>0</v>
      </c>
      <c r="AE103" s="226">
        <f t="shared" si="19"/>
        <v>0</v>
      </c>
      <c r="AF103" s="226">
        <f t="shared" si="19"/>
        <v>0</v>
      </c>
    </row>
    <row r="104" spans="1:32" ht="15" x14ac:dyDescent="0.25">
      <c r="A104" s="5" t="s">
        <v>3542</v>
      </c>
      <c r="B104" s="11" t="str">
        <f t="shared" si="12"/>
        <v>N/A</v>
      </c>
      <c r="C104" s="226">
        <f t="shared" si="13"/>
        <v>0</v>
      </c>
      <c r="D104" s="226">
        <f t="shared" ref="D104:AF104" si="20">MAX(IF((D$94-(D$96+D$97))&lt;SUM($L$25:$L$32),IF(((D$94-(D$96+D$97))*$L31/SUM($L$25:$L$32))&lt;$L31,(D$94-(D$96+D$97))*$L31/SUM($L$25:$L$32),$L31),$L31),0)</f>
        <v>0</v>
      </c>
      <c r="E104" s="226">
        <f t="shared" si="20"/>
        <v>0</v>
      </c>
      <c r="F104" s="226">
        <f t="shared" si="20"/>
        <v>0</v>
      </c>
      <c r="G104" s="226">
        <f t="shared" si="20"/>
        <v>0</v>
      </c>
      <c r="H104" s="226">
        <f t="shared" si="20"/>
        <v>0</v>
      </c>
      <c r="I104" s="226">
        <f t="shared" si="20"/>
        <v>0</v>
      </c>
      <c r="J104" s="226">
        <f t="shared" si="20"/>
        <v>0</v>
      </c>
      <c r="K104" s="226">
        <f t="shared" si="20"/>
        <v>0</v>
      </c>
      <c r="L104" s="226">
        <f t="shared" si="20"/>
        <v>0</v>
      </c>
      <c r="M104" s="226">
        <f t="shared" si="20"/>
        <v>0</v>
      </c>
      <c r="N104" s="226">
        <f t="shared" si="20"/>
        <v>0</v>
      </c>
      <c r="O104" s="226">
        <f t="shared" si="20"/>
        <v>0</v>
      </c>
      <c r="P104" s="226">
        <f t="shared" si="20"/>
        <v>0</v>
      </c>
      <c r="Q104" s="226">
        <f t="shared" si="20"/>
        <v>0</v>
      </c>
      <c r="R104" s="226">
        <f t="shared" si="20"/>
        <v>0</v>
      </c>
      <c r="S104" s="226">
        <f t="shared" si="20"/>
        <v>0</v>
      </c>
      <c r="T104" s="226">
        <f t="shared" si="20"/>
        <v>0</v>
      </c>
      <c r="U104" s="226">
        <f t="shared" si="20"/>
        <v>0</v>
      </c>
      <c r="V104" s="226">
        <f t="shared" si="20"/>
        <v>0</v>
      </c>
      <c r="W104" s="226">
        <f t="shared" si="20"/>
        <v>0</v>
      </c>
      <c r="X104" s="226">
        <f t="shared" si="20"/>
        <v>0</v>
      </c>
      <c r="Y104" s="226">
        <f t="shared" si="20"/>
        <v>0</v>
      </c>
      <c r="Z104" s="226">
        <f t="shared" si="20"/>
        <v>0</v>
      </c>
      <c r="AA104" s="226">
        <f t="shared" si="20"/>
        <v>0</v>
      </c>
      <c r="AB104" s="226">
        <f t="shared" si="20"/>
        <v>0</v>
      </c>
      <c r="AC104" s="226">
        <f t="shared" si="20"/>
        <v>0</v>
      </c>
      <c r="AD104" s="226">
        <f t="shared" si="20"/>
        <v>0</v>
      </c>
      <c r="AE104" s="226">
        <f t="shared" si="20"/>
        <v>0</v>
      </c>
      <c r="AF104" s="226">
        <f t="shared" si="20"/>
        <v>0</v>
      </c>
    </row>
    <row r="105" spans="1:32" ht="15" x14ac:dyDescent="0.25">
      <c r="A105" s="5" t="s">
        <v>4051</v>
      </c>
      <c r="B105" s="11" t="str">
        <f t="shared" si="12"/>
        <v>N/A</v>
      </c>
      <c r="C105" s="226">
        <f t="shared" si="13"/>
        <v>0</v>
      </c>
      <c r="D105" s="226">
        <f t="shared" ref="D105:AF105" si="21">MAX(IF((D$94-(D$96+D$97))&lt;SUM($L$25:$L$32),IF(((D$94-(D$96+D$97))*$L32/SUM($L$25:$L$32))&lt;$L32,(D$94-(D$96+D$97))*$L32/SUM($L$25:$L$32),$L32),$L32),0)</f>
        <v>0</v>
      </c>
      <c r="E105" s="226">
        <f t="shared" si="21"/>
        <v>0</v>
      </c>
      <c r="F105" s="226">
        <f t="shared" si="21"/>
        <v>0</v>
      </c>
      <c r="G105" s="226">
        <f t="shared" si="21"/>
        <v>0</v>
      </c>
      <c r="H105" s="226">
        <f t="shared" si="21"/>
        <v>0</v>
      </c>
      <c r="I105" s="226">
        <f t="shared" si="21"/>
        <v>0</v>
      </c>
      <c r="J105" s="226">
        <f t="shared" si="21"/>
        <v>0</v>
      </c>
      <c r="K105" s="226">
        <f t="shared" si="21"/>
        <v>0</v>
      </c>
      <c r="L105" s="226">
        <f t="shared" si="21"/>
        <v>0</v>
      </c>
      <c r="M105" s="226">
        <f t="shared" si="21"/>
        <v>0</v>
      </c>
      <c r="N105" s="226">
        <f t="shared" si="21"/>
        <v>0</v>
      </c>
      <c r="O105" s="226">
        <f t="shared" si="21"/>
        <v>0</v>
      </c>
      <c r="P105" s="226">
        <f t="shared" si="21"/>
        <v>0</v>
      </c>
      <c r="Q105" s="226">
        <f t="shared" si="21"/>
        <v>0</v>
      </c>
      <c r="R105" s="226">
        <f t="shared" si="21"/>
        <v>0</v>
      </c>
      <c r="S105" s="226">
        <f t="shared" si="21"/>
        <v>0</v>
      </c>
      <c r="T105" s="226">
        <f t="shared" si="21"/>
        <v>0</v>
      </c>
      <c r="U105" s="226">
        <f t="shared" si="21"/>
        <v>0</v>
      </c>
      <c r="V105" s="226">
        <f t="shared" si="21"/>
        <v>0</v>
      </c>
      <c r="W105" s="226">
        <f t="shared" si="21"/>
        <v>0</v>
      </c>
      <c r="X105" s="226">
        <f t="shared" si="21"/>
        <v>0</v>
      </c>
      <c r="Y105" s="226">
        <f t="shared" si="21"/>
        <v>0</v>
      </c>
      <c r="Z105" s="226">
        <f t="shared" si="21"/>
        <v>0</v>
      </c>
      <c r="AA105" s="226">
        <f t="shared" si="21"/>
        <v>0</v>
      </c>
      <c r="AB105" s="226">
        <f t="shared" si="21"/>
        <v>0</v>
      </c>
      <c r="AC105" s="226">
        <f t="shared" si="21"/>
        <v>0</v>
      </c>
      <c r="AD105" s="226">
        <f t="shared" si="21"/>
        <v>0</v>
      </c>
      <c r="AE105" s="226">
        <f t="shared" si="21"/>
        <v>0</v>
      </c>
      <c r="AF105" s="226">
        <f t="shared" si="21"/>
        <v>0</v>
      </c>
    </row>
    <row r="106" spans="1:32" ht="15" x14ac:dyDescent="0.25">
      <c r="B106" s="11" t="s">
        <v>4526</v>
      </c>
      <c r="C106" s="226">
        <f t="array" ref="C106:S106">TRANSPOSE('MLP Amortization'!U2:U18)</f>
        <v>0</v>
      </c>
      <c r="D106" s="226">
        <f ca="1"/>
        <v>0</v>
      </c>
      <c r="E106" s="226">
        <f ca="1"/>
        <v>0</v>
      </c>
      <c r="F106" s="226">
        <f ca="1"/>
        <v>0</v>
      </c>
      <c r="G106" s="226">
        <f ca="1"/>
        <v>0</v>
      </c>
      <c r="H106" s="226">
        <f ca="1"/>
        <v>0</v>
      </c>
      <c r="I106" s="226">
        <f ca="1"/>
        <v>0</v>
      </c>
      <c r="J106" s="226">
        <f ca="1"/>
        <v>0</v>
      </c>
      <c r="K106" s="226">
        <f ca="1"/>
        <v>0</v>
      </c>
      <c r="L106" s="226">
        <f ca="1"/>
        <v>0</v>
      </c>
      <c r="M106" s="226">
        <f ca="1"/>
        <v>0</v>
      </c>
      <c r="N106" s="226">
        <f ca="1"/>
        <v>0</v>
      </c>
      <c r="O106" s="226">
        <f ca="1"/>
        <v>0</v>
      </c>
      <c r="P106" s="226">
        <f ca="1"/>
        <v>0</v>
      </c>
      <c r="Q106" s="226">
        <f ca="1"/>
        <v>0</v>
      </c>
      <c r="R106" s="226">
        <f ca="1"/>
        <v>0</v>
      </c>
      <c r="S106" s="226">
        <f ca="1"/>
        <v>0</v>
      </c>
      <c r="T106" s="226"/>
      <c r="U106" s="226"/>
      <c r="V106" s="226"/>
      <c r="W106" s="226"/>
      <c r="X106" s="226"/>
      <c r="Y106" s="226"/>
      <c r="Z106" s="226"/>
      <c r="AA106" s="226"/>
      <c r="AB106" s="226"/>
      <c r="AC106" s="226"/>
      <c r="AD106" s="226"/>
      <c r="AE106" s="226"/>
      <c r="AF106" s="226"/>
    </row>
    <row r="108" spans="1:32" ht="15" x14ac:dyDescent="0.25">
      <c r="B108" s="11" t="s">
        <v>3731</v>
      </c>
      <c r="C108" s="597">
        <f>C94-(C96+C97+C106)</f>
        <v>0</v>
      </c>
      <c r="D108" s="597">
        <f t="shared" ref="D108:AF108" ca="1" si="22">D94-(D96+D97+D106)</f>
        <v>0</v>
      </c>
      <c r="E108" s="597">
        <f ca="1">E94-(E96+E97+E106)</f>
        <v>0</v>
      </c>
      <c r="F108" s="597">
        <f t="shared" ca="1" si="22"/>
        <v>0</v>
      </c>
      <c r="G108" s="597">
        <f t="shared" ca="1" si="22"/>
        <v>0</v>
      </c>
      <c r="H108" s="597">
        <f t="shared" ca="1" si="22"/>
        <v>0</v>
      </c>
      <c r="I108" s="597">
        <f t="shared" ca="1" si="22"/>
        <v>0</v>
      </c>
      <c r="J108" s="597">
        <f t="shared" ca="1" si="22"/>
        <v>0</v>
      </c>
      <c r="K108" s="597">
        <f t="shared" ca="1" si="22"/>
        <v>0</v>
      </c>
      <c r="L108" s="597">
        <f t="shared" ca="1" si="22"/>
        <v>0</v>
      </c>
      <c r="M108" s="597">
        <f t="shared" ca="1" si="22"/>
        <v>0</v>
      </c>
      <c r="N108" s="597">
        <f t="shared" ca="1" si="22"/>
        <v>0</v>
      </c>
      <c r="O108" s="597">
        <f t="shared" ca="1" si="22"/>
        <v>0</v>
      </c>
      <c r="P108" s="597">
        <f t="shared" ca="1" si="22"/>
        <v>0</v>
      </c>
      <c r="Q108" s="597">
        <f t="shared" ca="1" si="22"/>
        <v>0</v>
      </c>
      <c r="R108" s="597">
        <f t="shared" ca="1" si="22"/>
        <v>0</v>
      </c>
      <c r="S108" s="597">
        <f t="shared" ca="1" si="22"/>
        <v>0</v>
      </c>
      <c r="T108" s="597">
        <f t="shared" si="22"/>
        <v>0</v>
      </c>
      <c r="U108" s="597">
        <f t="shared" si="22"/>
        <v>0</v>
      </c>
      <c r="V108" s="597">
        <f t="shared" si="22"/>
        <v>0</v>
      </c>
      <c r="W108" s="597">
        <f t="shared" si="22"/>
        <v>0</v>
      </c>
      <c r="X108" s="597">
        <f t="shared" si="22"/>
        <v>0</v>
      </c>
      <c r="Y108" s="597">
        <f t="shared" si="22"/>
        <v>0</v>
      </c>
      <c r="Z108" s="597">
        <f t="shared" si="22"/>
        <v>0</v>
      </c>
      <c r="AA108" s="597">
        <f t="shared" si="22"/>
        <v>0</v>
      </c>
      <c r="AB108" s="597">
        <f t="shared" si="22"/>
        <v>0</v>
      </c>
      <c r="AC108" s="597">
        <f t="shared" si="22"/>
        <v>0</v>
      </c>
      <c r="AD108" s="597">
        <f t="shared" si="22"/>
        <v>0</v>
      </c>
      <c r="AE108" s="597">
        <f t="shared" si="22"/>
        <v>0</v>
      </c>
      <c r="AF108" s="597">
        <f t="shared" si="22"/>
        <v>0</v>
      </c>
    </row>
    <row r="109" spans="1:32" ht="15" x14ac:dyDescent="0.25">
      <c r="B109" s="11" t="s">
        <v>3732</v>
      </c>
      <c r="C109" s="228">
        <f>IF((C96+C97+C106)&gt;0,C94/(C96+C97+C106),0)</f>
        <v>0</v>
      </c>
      <c r="D109" s="228">
        <f t="shared" ref="D109:AF109" ca="1" si="23">IF((D96+D97+D106)&gt;0,D94/(D96+D97+D106),0)</f>
        <v>0</v>
      </c>
      <c r="E109" s="228">
        <f t="shared" ca="1" si="23"/>
        <v>0</v>
      </c>
      <c r="F109" s="228">
        <f ca="1">IF((F96+F97+F106)&gt;0,F94/(F96+F97+F106),0)</f>
        <v>0</v>
      </c>
      <c r="G109" s="228">
        <f t="shared" ca="1" si="23"/>
        <v>0</v>
      </c>
      <c r="H109" s="228">
        <f t="shared" ca="1" si="23"/>
        <v>0</v>
      </c>
      <c r="I109" s="228">
        <f t="shared" ca="1" si="23"/>
        <v>0</v>
      </c>
      <c r="J109" s="228">
        <f t="shared" ca="1" si="23"/>
        <v>0</v>
      </c>
      <c r="K109" s="228">
        <f t="shared" ca="1" si="23"/>
        <v>0</v>
      </c>
      <c r="L109" s="228">
        <f t="shared" ca="1" si="23"/>
        <v>0</v>
      </c>
      <c r="M109" s="228">
        <f t="shared" ca="1" si="23"/>
        <v>0</v>
      </c>
      <c r="N109" s="228">
        <f t="shared" ca="1" si="23"/>
        <v>0</v>
      </c>
      <c r="O109" s="228">
        <f t="shared" ca="1" si="23"/>
        <v>0</v>
      </c>
      <c r="P109" s="228">
        <f t="shared" ca="1" si="23"/>
        <v>0</v>
      </c>
      <c r="Q109" s="228">
        <f t="shared" ca="1" si="23"/>
        <v>0</v>
      </c>
      <c r="R109" s="228">
        <f t="shared" ca="1" si="23"/>
        <v>0</v>
      </c>
      <c r="S109" s="228">
        <f t="shared" ca="1" si="23"/>
        <v>0</v>
      </c>
      <c r="T109" s="228">
        <f t="shared" si="23"/>
        <v>0</v>
      </c>
      <c r="U109" s="228">
        <f t="shared" si="23"/>
        <v>0</v>
      </c>
      <c r="V109" s="228">
        <f t="shared" si="23"/>
        <v>0</v>
      </c>
      <c r="W109" s="228">
        <f t="shared" si="23"/>
        <v>0</v>
      </c>
      <c r="X109" s="228">
        <f t="shared" si="23"/>
        <v>0</v>
      </c>
      <c r="Y109" s="228">
        <f t="shared" si="23"/>
        <v>0</v>
      </c>
      <c r="Z109" s="228">
        <f t="shared" si="23"/>
        <v>0</v>
      </c>
      <c r="AA109" s="228">
        <f t="shared" si="23"/>
        <v>0</v>
      </c>
      <c r="AB109" s="228">
        <f t="shared" si="23"/>
        <v>0</v>
      </c>
      <c r="AC109" s="228">
        <f t="shared" si="23"/>
        <v>0</v>
      </c>
      <c r="AD109" s="228">
        <f t="shared" si="23"/>
        <v>0</v>
      </c>
      <c r="AE109" s="228">
        <f t="shared" si="23"/>
        <v>0</v>
      </c>
      <c r="AF109" s="228">
        <f t="shared" si="23"/>
        <v>0</v>
      </c>
    </row>
    <row r="111" spans="1:32" ht="15" x14ac:dyDescent="0.25">
      <c r="B111" s="11" t="s">
        <v>3733</v>
      </c>
      <c r="C111" s="597">
        <f>C94-SUM(C96:C106)</f>
        <v>0</v>
      </c>
      <c r="D111" s="597">
        <f t="shared" ref="D111:AF111" ca="1" si="24">D94-SUM(D96:D106)</f>
        <v>0</v>
      </c>
      <c r="E111" s="597">
        <f t="shared" ca="1" si="24"/>
        <v>0</v>
      </c>
      <c r="F111" s="597">
        <f t="shared" ca="1" si="24"/>
        <v>0</v>
      </c>
      <c r="G111" s="597">
        <f t="shared" ca="1" si="24"/>
        <v>0</v>
      </c>
      <c r="H111" s="597">
        <f t="shared" ca="1" si="24"/>
        <v>0</v>
      </c>
      <c r="I111" s="597">
        <f t="shared" ca="1" si="24"/>
        <v>0</v>
      </c>
      <c r="J111" s="597">
        <f t="shared" ca="1" si="24"/>
        <v>0</v>
      </c>
      <c r="K111" s="597">
        <f t="shared" ca="1" si="24"/>
        <v>0</v>
      </c>
      <c r="L111" s="597">
        <f t="shared" ca="1" si="24"/>
        <v>0</v>
      </c>
      <c r="M111" s="597">
        <f t="shared" ca="1" si="24"/>
        <v>0</v>
      </c>
      <c r="N111" s="597">
        <f t="shared" ca="1" si="24"/>
        <v>0</v>
      </c>
      <c r="O111" s="597">
        <f t="shared" ca="1" si="24"/>
        <v>0</v>
      </c>
      <c r="P111" s="597">
        <f t="shared" ca="1" si="24"/>
        <v>0</v>
      </c>
      <c r="Q111" s="597">
        <f t="shared" ca="1" si="24"/>
        <v>0</v>
      </c>
      <c r="R111" s="597">
        <f t="shared" ca="1" si="24"/>
        <v>0</v>
      </c>
      <c r="S111" s="597">
        <f t="shared" ca="1" si="24"/>
        <v>0</v>
      </c>
      <c r="T111" s="597">
        <f t="shared" si="24"/>
        <v>0</v>
      </c>
      <c r="U111" s="597">
        <f t="shared" si="24"/>
        <v>0</v>
      </c>
      <c r="V111" s="597">
        <f t="shared" si="24"/>
        <v>0</v>
      </c>
      <c r="W111" s="597">
        <f t="shared" si="24"/>
        <v>0</v>
      </c>
      <c r="X111" s="597">
        <f t="shared" si="24"/>
        <v>0</v>
      </c>
      <c r="Y111" s="597">
        <f t="shared" si="24"/>
        <v>0</v>
      </c>
      <c r="Z111" s="597">
        <f t="shared" si="24"/>
        <v>0</v>
      </c>
      <c r="AA111" s="597">
        <f t="shared" si="24"/>
        <v>0</v>
      </c>
      <c r="AB111" s="597">
        <f t="shared" si="24"/>
        <v>0</v>
      </c>
      <c r="AC111" s="597">
        <f t="shared" si="24"/>
        <v>0</v>
      </c>
      <c r="AD111" s="597">
        <f t="shared" si="24"/>
        <v>0</v>
      </c>
      <c r="AE111" s="597">
        <f t="shared" si="24"/>
        <v>0</v>
      </c>
      <c r="AF111" s="597">
        <f t="shared" si="24"/>
        <v>0</v>
      </c>
    </row>
    <row r="112" spans="1:32" ht="15" x14ac:dyDescent="0.25">
      <c r="B112" s="11" t="s">
        <v>4351</v>
      </c>
      <c r="C112" s="228" t="e">
        <f>IF((C96+C97+C106)=0,C87/(C89+C92),0)</f>
        <v>#DIV/0!</v>
      </c>
      <c r="D112" s="228" t="e">
        <f t="shared" ref="D112:AF112" ca="1" si="25">IF((D96+D97+D106)=0,D87/(D89+D92),0)</f>
        <v>#DIV/0!</v>
      </c>
      <c r="E112" s="228" t="e">
        <f t="shared" ca="1" si="25"/>
        <v>#DIV/0!</v>
      </c>
      <c r="F112" s="228" t="e">
        <f t="shared" ca="1" si="25"/>
        <v>#DIV/0!</v>
      </c>
      <c r="G112" s="228" t="e">
        <f t="shared" ca="1" si="25"/>
        <v>#DIV/0!</v>
      </c>
      <c r="H112" s="228" t="e">
        <f t="shared" ca="1" si="25"/>
        <v>#DIV/0!</v>
      </c>
      <c r="I112" s="228" t="e">
        <f t="shared" ca="1" si="25"/>
        <v>#DIV/0!</v>
      </c>
      <c r="J112" s="228" t="e">
        <f t="shared" ca="1" si="25"/>
        <v>#DIV/0!</v>
      </c>
      <c r="K112" s="228" t="e">
        <f t="shared" ca="1" si="25"/>
        <v>#DIV/0!</v>
      </c>
      <c r="L112" s="228" t="e">
        <f t="shared" ca="1" si="25"/>
        <v>#DIV/0!</v>
      </c>
      <c r="M112" s="228" t="e">
        <f t="shared" ca="1" si="25"/>
        <v>#DIV/0!</v>
      </c>
      <c r="N112" s="228" t="e">
        <f t="shared" ca="1" si="25"/>
        <v>#DIV/0!</v>
      </c>
      <c r="O112" s="228" t="e">
        <f t="shared" ca="1" si="25"/>
        <v>#DIV/0!</v>
      </c>
      <c r="P112" s="228" t="e">
        <f t="shared" ca="1" si="25"/>
        <v>#DIV/0!</v>
      </c>
      <c r="Q112" s="228" t="e">
        <f t="shared" ca="1" si="25"/>
        <v>#DIV/0!</v>
      </c>
      <c r="R112" s="228" t="e">
        <f t="shared" ca="1" si="25"/>
        <v>#DIV/0!</v>
      </c>
      <c r="S112" s="228" t="e">
        <f t="shared" ca="1" si="25"/>
        <v>#DIV/0!</v>
      </c>
      <c r="T112" s="228" t="e">
        <f t="shared" si="25"/>
        <v>#DIV/0!</v>
      </c>
      <c r="U112" s="228" t="e">
        <f t="shared" si="25"/>
        <v>#DIV/0!</v>
      </c>
      <c r="V112" s="228" t="e">
        <f t="shared" si="25"/>
        <v>#DIV/0!</v>
      </c>
      <c r="W112" s="228" t="e">
        <f t="shared" si="25"/>
        <v>#DIV/0!</v>
      </c>
      <c r="X112" s="228" t="e">
        <f t="shared" si="25"/>
        <v>#DIV/0!</v>
      </c>
      <c r="Y112" s="228" t="e">
        <f t="shared" si="25"/>
        <v>#DIV/0!</v>
      </c>
      <c r="Z112" s="228" t="e">
        <f t="shared" si="25"/>
        <v>#DIV/0!</v>
      </c>
      <c r="AA112" s="228" t="e">
        <f t="shared" si="25"/>
        <v>#DIV/0!</v>
      </c>
      <c r="AB112" s="228" t="e">
        <f t="shared" si="25"/>
        <v>#DIV/0!</v>
      </c>
      <c r="AC112" s="228" t="e">
        <f t="shared" si="25"/>
        <v>#DIV/0!</v>
      </c>
      <c r="AD112" s="228" t="e">
        <f t="shared" si="25"/>
        <v>#DIV/0!</v>
      </c>
      <c r="AE112" s="228" t="e">
        <f t="shared" si="25"/>
        <v>#DIV/0!</v>
      </c>
      <c r="AF112" s="228" t="e">
        <f t="shared" si="25"/>
        <v>#DIV/0!</v>
      </c>
    </row>
    <row r="114" spans="1:18" hidden="1" x14ac:dyDescent="0.2"/>
    <row r="115" spans="1:18" s="515" customFormat="1" ht="12.75" hidden="1" customHeight="1" x14ac:dyDescent="0.2">
      <c r="A115" s="514"/>
      <c r="B115" s="514"/>
      <c r="C115" s="514"/>
      <c r="D115" s="514"/>
      <c r="E115" s="514"/>
      <c r="F115" s="514"/>
      <c r="G115" s="514"/>
      <c r="H115" s="514"/>
      <c r="I115" s="514"/>
      <c r="J115" s="514"/>
      <c r="K115" s="514"/>
      <c r="L115" s="514"/>
      <c r="M115" s="514"/>
      <c r="N115" s="514"/>
      <c r="O115" s="514"/>
      <c r="P115" s="514"/>
      <c r="Q115" s="514"/>
      <c r="R115"/>
    </row>
    <row r="116" spans="1:18" s="515" customFormat="1" ht="15.75" hidden="1" customHeight="1" x14ac:dyDescent="0.25">
      <c r="A116" s="516"/>
      <c r="B116" s="517" t="s">
        <v>4485</v>
      </c>
      <c r="C116" s="518"/>
      <c r="D116" s="519"/>
      <c r="E116" s="519"/>
      <c r="F116" s="518"/>
      <c r="G116" s="519"/>
      <c r="H116" s="519"/>
      <c r="I116" s="519"/>
      <c r="J116" s="519"/>
      <c r="K116" s="519"/>
      <c r="L116" s="519"/>
      <c r="M116" s="519"/>
      <c r="N116" s="519"/>
      <c r="O116" s="519"/>
      <c r="P116" s="519"/>
      <c r="Q116" s="520"/>
      <c r="R116"/>
    </row>
    <row r="117" spans="1:18" s="515" customFormat="1" ht="15.75" hidden="1" customHeight="1" x14ac:dyDescent="0.25">
      <c r="A117" s="516"/>
      <c r="B117" s="521"/>
      <c r="C117" s="522"/>
      <c r="D117" s="523"/>
      <c r="E117" s="523"/>
      <c r="F117" s="522"/>
      <c r="G117" s="523"/>
      <c r="H117" s="523"/>
      <c r="I117" s="523"/>
      <c r="J117" s="523"/>
      <c r="K117" s="523"/>
      <c r="L117" s="523"/>
      <c r="M117" s="523"/>
      <c r="N117" s="523"/>
      <c r="O117" s="523"/>
      <c r="P117" s="523"/>
      <c r="Q117" s="563"/>
      <c r="R117"/>
    </row>
    <row r="118" spans="1:18" s="515" customFormat="1" hidden="1" x14ac:dyDescent="0.2">
      <c r="A118" s="522"/>
      <c r="B118" s="546" t="s">
        <v>4486</v>
      </c>
      <c r="C118" s="542"/>
      <c r="D118" s="542"/>
      <c r="E118" s="542"/>
      <c r="F118" s="542"/>
      <c r="G118" s="542"/>
      <c r="H118" s="542"/>
      <c r="I118" s="542"/>
      <c r="J118" s="542"/>
      <c r="K118" s="542"/>
      <c r="L118" s="542"/>
      <c r="M118" s="542"/>
      <c r="N118" s="542"/>
      <c r="O118" s="542"/>
      <c r="P118" s="542"/>
      <c r="Q118" s="543"/>
      <c r="R118"/>
    </row>
    <row r="119" spans="1:18" s="515" customFormat="1" hidden="1" x14ac:dyDescent="0.2">
      <c r="A119" s="522"/>
      <c r="B119" s="533" t="s">
        <v>4487</v>
      </c>
      <c r="C119" s="534" t="e">
        <f>IF(C112&gt;0,IF(AND(C112&gt;1.1,C112&lt;1.45),"yes","no"),IF(AND(C109&gt;1.1,C109&lt;1.45),"yes","no"))</f>
        <v>#DIV/0!</v>
      </c>
      <c r="D119" s="534" t="e">
        <f t="shared" ref="D119:Q119" ca="1" si="26">IF(D112&gt;0,IF(AND(D112&gt;1.1,D112&lt;1.45),"yes","no"),IF(AND(D109&gt;1.1,D109&lt;1.45),"yes","no"))</f>
        <v>#DIV/0!</v>
      </c>
      <c r="E119" s="534" t="e">
        <f t="shared" ca="1" si="26"/>
        <v>#DIV/0!</v>
      </c>
      <c r="F119" s="534" t="e">
        <f t="shared" ca="1" si="26"/>
        <v>#DIV/0!</v>
      </c>
      <c r="G119" s="534" t="e">
        <f t="shared" ca="1" si="26"/>
        <v>#DIV/0!</v>
      </c>
      <c r="H119" s="534" t="e">
        <f t="shared" ca="1" si="26"/>
        <v>#DIV/0!</v>
      </c>
      <c r="I119" s="534" t="e">
        <f t="shared" ca="1" si="26"/>
        <v>#DIV/0!</v>
      </c>
      <c r="J119" s="534" t="e">
        <f t="shared" ca="1" si="26"/>
        <v>#DIV/0!</v>
      </c>
      <c r="K119" s="534" t="e">
        <f t="shared" ca="1" si="26"/>
        <v>#DIV/0!</v>
      </c>
      <c r="L119" s="534" t="e">
        <f t="shared" ca="1" si="26"/>
        <v>#DIV/0!</v>
      </c>
      <c r="M119" s="534" t="e">
        <f t="shared" ca="1" si="26"/>
        <v>#DIV/0!</v>
      </c>
      <c r="N119" s="534" t="e">
        <f t="shared" ca="1" si="26"/>
        <v>#DIV/0!</v>
      </c>
      <c r="O119" s="534" t="e">
        <f t="shared" ca="1" si="26"/>
        <v>#DIV/0!</v>
      </c>
      <c r="P119" s="534" t="e">
        <f t="shared" ca="1" si="26"/>
        <v>#DIV/0!</v>
      </c>
      <c r="Q119" s="534" t="e">
        <f t="shared" ca="1" si="26"/>
        <v>#DIV/0!</v>
      </c>
      <c r="R119"/>
    </row>
    <row r="120" spans="1:18" s="515" customFormat="1" hidden="1" x14ac:dyDescent="0.2">
      <c r="A120" s="522"/>
      <c r="B120" s="533"/>
      <c r="C120" s="534"/>
      <c r="D120" s="534"/>
      <c r="E120" s="534"/>
      <c r="F120" s="534"/>
      <c r="G120" s="534"/>
      <c r="H120" s="534"/>
      <c r="I120" s="534"/>
      <c r="J120" s="534"/>
      <c r="K120" s="534"/>
      <c r="L120" s="534"/>
      <c r="M120" s="534"/>
      <c r="N120" s="534"/>
      <c r="O120" s="534"/>
      <c r="P120" s="534"/>
      <c r="Q120" s="534"/>
      <c r="R120"/>
    </row>
    <row r="121" spans="1:18" s="515" customFormat="1" hidden="1" x14ac:dyDescent="0.2">
      <c r="A121" s="522"/>
      <c r="B121" s="546" t="s">
        <v>4488</v>
      </c>
      <c r="C121" s="544"/>
      <c r="D121" s="544"/>
      <c r="E121" s="544"/>
      <c r="F121" s="544"/>
      <c r="G121" s="544"/>
      <c r="H121" s="544"/>
      <c r="I121" s="544"/>
      <c r="J121" s="544"/>
      <c r="K121" s="544"/>
      <c r="L121" s="544"/>
      <c r="M121" s="544"/>
      <c r="N121" s="544"/>
      <c r="O121" s="544"/>
      <c r="P121" s="544"/>
      <c r="Q121" s="545"/>
      <c r="R121"/>
    </row>
    <row r="122" spans="1:18" s="515" customFormat="1" hidden="1" x14ac:dyDescent="0.2">
      <c r="A122" s="522"/>
      <c r="B122" s="535" t="s">
        <v>4489</v>
      </c>
      <c r="C122" s="534" t="str">
        <f>IF(C89&gt;0,IF(((C108/C89)&lt;=0.1),"yes","no"),"n/a")</f>
        <v>n/a</v>
      </c>
      <c r="D122" s="534" t="str">
        <f t="shared" ref="D122:Q122" si="27">IF(D89&gt;0,IF(((D108/D89)&lt;=0.1),"yes","no"),"n/a")</f>
        <v>n/a</v>
      </c>
      <c r="E122" s="534" t="str">
        <f t="shared" si="27"/>
        <v>n/a</v>
      </c>
      <c r="F122" s="534" t="str">
        <f t="shared" si="27"/>
        <v>n/a</v>
      </c>
      <c r="G122" s="534" t="str">
        <f t="shared" si="27"/>
        <v>n/a</v>
      </c>
      <c r="H122" s="534" t="str">
        <f t="shared" si="27"/>
        <v>n/a</v>
      </c>
      <c r="I122" s="534" t="str">
        <f t="shared" si="27"/>
        <v>n/a</v>
      </c>
      <c r="J122" s="534" t="str">
        <f t="shared" si="27"/>
        <v>n/a</v>
      </c>
      <c r="K122" s="534" t="str">
        <f t="shared" si="27"/>
        <v>n/a</v>
      </c>
      <c r="L122" s="534" t="str">
        <f t="shared" si="27"/>
        <v>n/a</v>
      </c>
      <c r="M122" s="534" t="str">
        <f t="shared" si="27"/>
        <v>n/a</v>
      </c>
      <c r="N122" s="534" t="str">
        <f t="shared" si="27"/>
        <v>n/a</v>
      </c>
      <c r="O122" s="534" t="str">
        <f t="shared" si="27"/>
        <v>n/a</v>
      </c>
      <c r="P122" s="534" t="str">
        <f t="shared" si="27"/>
        <v>n/a</v>
      </c>
      <c r="Q122" s="534" t="str">
        <f t="shared" si="27"/>
        <v>n/a</v>
      </c>
      <c r="R122"/>
    </row>
    <row r="123" spans="1:18" s="515" customFormat="1" hidden="1" x14ac:dyDescent="0.2">
      <c r="A123" s="522"/>
      <c r="B123" s="536" t="s">
        <v>4490</v>
      </c>
      <c r="C123" s="537" t="str">
        <f>IF(C96&gt;0,(C94/(C96+C97)),"-")</f>
        <v>-</v>
      </c>
      <c r="D123" s="537" t="str">
        <f t="shared" ref="D123:Q123" si="28">IF(D96&gt;0,(D94/(D96+D97)),"-")</f>
        <v>-</v>
      </c>
      <c r="E123" s="537" t="str">
        <f t="shared" si="28"/>
        <v>-</v>
      </c>
      <c r="F123" s="537" t="str">
        <f t="shared" si="28"/>
        <v>-</v>
      </c>
      <c r="G123" s="537" t="str">
        <f t="shared" si="28"/>
        <v>-</v>
      </c>
      <c r="H123" s="537" t="str">
        <f t="shared" si="28"/>
        <v>-</v>
      </c>
      <c r="I123" s="537" t="str">
        <f t="shared" si="28"/>
        <v>-</v>
      </c>
      <c r="J123" s="537" t="str">
        <f t="shared" si="28"/>
        <v>-</v>
      </c>
      <c r="K123" s="537" t="str">
        <f t="shared" si="28"/>
        <v>-</v>
      </c>
      <c r="L123" s="537" t="str">
        <f t="shared" si="28"/>
        <v>-</v>
      </c>
      <c r="M123" s="537" t="str">
        <f t="shared" si="28"/>
        <v>-</v>
      </c>
      <c r="N123" s="537" t="str">
        <f t="shared" si="28"/>
        <v>-</v>
      </c>
      <c r="O123" s="537" t="str">
        <f t="shared" si="28"/>
        <v>-</v>
      </c>
      <c r="P123" s="537" t="str">
        <f t="shared" si="28"/>
        <v>-</v>
      </c>
      <c r="Q123" s="537" t="str">
        <f t="shared" si="28"/>
        <v>-</v>
      </c>
      <c r="R123"/>
    </row>
    <row r="124" spans="1:18" s="515" customFormat="1" hidden="1" x14ac:dyDescent="0.2">
      <c r="A124" s="522"/>
      <c r="B124" s="536" t="s">
        <v>4491</v>
      </c>
      <c r="C124" s="537" t="e">
        <f>IF(C96&lt;=0,(C94/(C89+C92))+1,"-")</f>
        <v>#DIV/0!</v>
      </c>
      <c r="D124" s="537" t="str">
        <f t="shared" ref="D124:Q124" si="29">IF(D96&lt;0,(D94/(D89+D92))+1,"-")</f>
        <v>-</v>
      </c>
      <c r="E124" s="537" t="str">
        <f t="shared" si="29"/>
        <v>-</v>
      </c>
      <c r="F124" s="537" t="str">
        <f t="shared" si="29"/>
        <v>-</v>
      </c>
      <c r="G124" s="537" t="str">
        <f t="shared" si="29"/>
        <v>-</v>
      </c>
      <c r="H124" s="537" t="str">
        <f t="shared" si="29"/>
        <v>-</v>
      </c>
      <c r="I124" s="537" t="str">
        <f t="shared" si="29"/>
        <v>-</v>
      </c>
      <c r="J124" s="537" t="str">
        <f t="shared" si="29"/>
        <v>-</v>
      </c>
      <c r="K124" s="537" t="str">
        <f t="shared" si="29"/>
        <v>-</v>
      </c>
      <c r="L124" s="537" t="str">
        <f t="shared" si="29"/>
        <v>-</v>
      </c>
      <c r="M124" s="537" t="str">
        <f t="shared" si="29"/>
        <v>-</v>
      </c>
      <c r="N124" s="537" t="str">
        <f t="shared" si="29"/>
        <v>-</v>
      </c>
      <c r="O124" s="537" t="str">
        <f t="shared" si="29"/>
        <v>-</v>
      </c>
      <c r="P124" s="537" t="str">
        <f t="shared" si="29"/>
        <v>-</v>
      </c>
      <c r="Q124" s="537" t="str">
        <f t="shared" si="29"/>
        <v>-</v>
      </c>
      <c r="R124"/>
    </row>
    <row r="125" spans="1:18" s="515" customFormat="1" hidden="1" x14ac:dyDescent="0.2">
      <c r="A125" s="522"/>
      <c r="B125" s="533"/>
      <c r="C125" s="537"/>
      <c r="D125" s="537"/>
      <c r="E125" s="537"/>
      <c r="F125" s="537"/>
      <c r="G125" s="537"/>
      <c r="H125" s="537"/>
      <c r="I125" s="537"/>
      <c r="J125" s="537"/>
      <c r="K125" s="537"/>
      <c r="L125" s="537"/>
      <c r="M125" s="537"/>
      <c r="N125" s="537"/>
      <c r="O125" s="537"/>
      <c r="P125" s="537"/>
      <c r="Q125" s="537"/>
      <c r="R125"/>
    </row>
    <row r="126" spans="1:18" s="515" customFormat="1" hidden="1" x14ac:dyDescent="0.2">
      <c r="A126" s="522"/>
      <c r="B126" s="547" t="s">
        <v>4492</v>
      </c>
      <c r="C126" s="617">
        <f ca="1">AVERAGE(C109:Q109)</f>
        <v>0</v>
      </c>
      <c r="D126" s="538"/>
      <c r="E126" s="537"/>
      <c r="F126" s="539"/>
      <c r="G126" s="539"/>
      <c r="H126" s="539"/>
      <c r="I126" s="539"/>
      <c r="J126" s="537"/>
      <c r="K126" s="537"/>
      <c r="L126" s="537"/>
      <c r="M126" s="537"/>
      <c r="N126" s="537"/>
      <c r="O126" s="537"/>
      <c r="P126" s="537"/>
      <c r="Q126" s="537"/>
      <c r="R126"/>
    </row>
    <row r="127" spans="1:18" s="515" customFormat="1" hidden="1" x14ac:dyDescent="0.2">
      <c r="A127" s="522"/>
      <c r="B127" s="547" t="s">
        <v>4493</v>
      </c>
      <c r="C127" s="540" t="str">
        <f>IF(SUM(C89:C92)&gt;0,(SUM(C108:Q108))/(SUM(C89:R92))+0,"n/a")</f>
        <v>n/a</v>
      </c>
      <c r="D127" s="541" t="s">
        <v>4494</v>
      </c>
      <c r="E127" s="534"/>
      <c r="F127" s="534"/>
      <c r="G127" s="541"/>
      <c r="H127" s="534"/>
      <c r="I127" s="534"/>
      <c r="J127" s="534"/>
      <c r="K127" s="534"/>
      <c r="L127" s="534"/>
      <c r="M127" s="534"/>
      <c r="N127" s="534"/>
      <c r="O127" s="534"/>
      <c r="P127" s="534"/>
      <c r="Q127" s="534"/>
      <c r="R127"/>
    </row>
    <row r="128" spans="1:18" s="515" customFormat="1" hidden="1" x14ac:dyDescent="0.2">
      <c r="A128" s="522"/>
      <c r="B128" s="524"/>
      <c r="C128" s="518"/>
      <c r="D128" s="518"/>
      <c r="E128" s="518"/>
      <c r="F128" s="518"/>
      <c r="G128" s="518"/>
      <c r="H128" s="518"/>
      <c r="I128" s="518"/>
      <c r="J128" s="518"/>
      <c r="K128" s="518"/>
      <c r="L128" s="522"/>
      <c r="M128" s="522"/>
      <c r="N128" s="522"/>
      <c r="O128" s="522"/>
      <c r="P128" s="522"/>
      <c r="Q128" s="522"/>
      <c r="R128"/>
    </row>
    <row r="129" spans="1:32" s="515" customFormat="1" ht="24" hidden="1" x14ac:dyDescent="0.2">
      <c r="A129" s="525"/>
      <c r="B129" s="526" t="s">
        <v>4495</v>
      </c>
      <c r="C129" s="527"/>
      <c r="D129" s="528" t="s">
        <v>4496</v>
      </c>
      <c r="E129" s="529" t="s">
        <v>4497</v>
      </c>
      <c r="F129" s="529" t="s">
        <v>4498</v>
      </c>
      <c r="G129" s="528" t="s">
        <v>4499</v>
      </c>
      <c r="H129" s="528" t="s">
        <v>4500</v>
      </c>
      <c r="I129" s="522"/>
      <c r="J129" s="522"/>
      <c r="K129" s="522"/>
      <c r="L129" s="522"/>
      <c r="M129" s="522"/>
      <c r="N129" s="522"/>
      <c r="O129"/>
    </row>
    <row r="130" spans="1:32" s="515" customFormat="1" hidden="1" x14ac:dyDescent="0.2">
      <c r="A130" s="522"/>
      <c r="B130" s="548" t="s">
        <v>4501</v>
      </c>
      <c r="C130" s="549" t="s">
        <v>4502</v>
      </c>
      <c r="D130" s="550" t="e">
        <f>'Budget &amp; Costs'!L277/'Budget &amp; Costs'!L327</f>
        <v>#DIV/0!</v>
      </c>
      <c r="E130" s="551">
        <v>0.06</v>
      </c>
      <c r="F130" s="551"/>
      <c r="G130" s="552">
        <v>0.06</v>
      </c>
      <c r="H130" s="552">
        <v>0.06</v>
      </c>
      <c r="I130" s="530"/>
      <c r="J130" s="522"/>
      <c r="K130" s="522"/>
      <c r="L130" s="522"/>
      <c r="M130" s="522"/>
      <c r="N130" s="522"/>
      <c r="O130" s="522"/>
      <c r="P130"/>
    </row>
    <row r="131" spans="1:32" s="515" customFormat="1" hidden="1" x14ac:dyDescent="0.2">
      <c r="A131" s="522"/>
      <c r="B131" s="547" t="s">
        <v>4503</v>
      </c>
      <c r="C131" s="553" t="s">
        <v>4081</v>
      </c>
      <c r="D131" s="550" t="e">
        <f>'Budget &amp; Costs'!L287/'Budget &amp; Costs'!L327</f>
        <v>#DIV/0!</v>
      </c>
      <c r="E131" s="554">
        <v>0.02</v>
      </c>
      <c r="F131" s="554"/>
      <c r="G131" s="554">
        <v>0.02</v>
      </c>
      <c r="H131" s="554">
        <v>0.02</v>
      </c>
      <c r="I131" s="531"/>
      <c r="J131" s="522"/>
      <c r="K131" s="522"/>
      <c r="L131" s="522"/>
      <c r="M131" s="522"/>
      <c r="N131" s="522"/>
      <c r="O131" s="522"/>
      <c r="P131"/>
    </row>
    <row r="132" spans="1:32" s="515" customFormat="1" hidden="1" x14ac:dyDescent="0.2">
      <c r="A132" s="522"/>
      <c r="B132" s="547" t="s">
        <v>4504</v>
      </c>
      <c r="C132" s="553" t="s">
        <v>4505</v>
      </c>
      <c r="D132" s="550" t="e">
        <f>'Budget &amp; Costs'!L288/'Budget &amp; Costs'!L327</f>
        <v>#DIV/0!</v>
      </c>
      <c r="E132" s="554">
        <v>0.06</v>
      </c>
      <c r="F132" s="554"/>
      <c r="G132" s="554">
        <v>0.06</v>
      </c>
      <c r="H132" s="554">
        <v>0.06</v>
      </c>
      <c r="I132" s="530"/>
      <c r="J132" s="522"/>
      <c r="K132" s="522"/>
      <c r="L132" s="522"/>
      <c r="M132" s="522"/>
      <c r="N132" s="522"/>
      <c r="O132" s="522"/>
      <c r="P132"/>
    </row>
    <row r="133" spans="1:32" s="515" customFormat="1" hidden="1" x14ac:dyDescent="0.2">
      <c r="A133" s="522"/>
      <c r="B133" s="555" t="s">
        <v>4506</v>
      </c>
      <c r="C133" s="556" t="s">
        <v>3986</v>
      </c>
      <c r="D133" s="564" t="e">
        <f>'Budget &amp; Costs'!S386/('Budget &amp; Costs'!S408-'Budget &amp; Costs'!S386)</f>
        <v>#DIV/0!</v>
      </c>
      <c r="E133" s="557">
        <v>0.15</v>
      </c>
      <c r="F133" s="558" t="str">
        <f>IF(SUM('Budget &amp; Costs'!F327:H327)&gt;0,'Budget &amp; Costs'!S386/SUM('Budget &amp; Costs'!F327:H327),"n/a")</f>
        <v>n/a</v>
      </c>
      <c r="G133" s="559">
        <v>0.12</v>
      </c>
      <c r="H133" s="559" t="s">
        <v>4507</v>
      </c>
      <c r="I133" s="532"/>
      <c r="J133" s="522"/>
      <c r="K133" s="522"/>
      <c r="L133" s="522"/>
      <c r="M133" s="522"/>
      <c r="N133" s="522"/>
      <c r="O133" s="522"/>
      <c r="P133"/>
    </row>
    <row r="134" spans="1:32" s="515" customFormat="1" hidden="1" x14ac:dyDescent="0.2">
      <c r="A134" s="522"/>
      <c r="B134" s="560" t="s">
        <v>4509</v>
      </c>
      <c r="C134" s="522"/>
      <c r="D134" s="522"/>
      <c r="E134" s="522"/>
      <c r="F134" s="522"/>
      <c r="G134" s="522"/>
      <c r="H134" s="522"/>
      <c r="I134" s="522"/>
      <c r="J134" s="522"/>
      <c r="K134" s="522"/>
      <c r="L134" s="522"/>
      <c r="M134" s="522"/>
      <c r="N134" s="522"/>
      <c r="O134" s="522"/>
      <c r="P134" s="522"/>
      <c r="Q134" s="522"/>
      <c r="R134"/>
    </row>
    <row r="135" spans="1:32" s="515" customFormat="1" hidden="1" x14ac:dyDescent="0.2">
      <c r="A135" s="522"/>
      <c r="B135" s="522" t="s">
        <v>4508</v>
      </c>
      <c r="C135" s="522"/>
      <c r="D135" s="522"/>
      <c r="E135" s="522"/>
      <c r="F135" s="522"/>
      <c r="G135" s="522"/>
      <c r="H135" s="522"/>
      <c r="I135" s="522"/>
      <c r="J135" s="522"/>
      <c r="K135" s="522"/>
      <c r="L135" s="522"/>
      <c r="M135" s="522"/>
      <c r="N135" s="522"/>
      <c r="O135" s="522"/>
      <c r="P135" s="522"/>
      <c r="Q135" s="522"/>
      <c r="R135"/>
    </row>
    <row r="136" spans="1:32" s="515" customFormat="1" hidden="1" x14ac:dyDescent="0.2">
      <c r="A136" s="522"/>
      <c r="B136" s="522"/>
      <c r="C136" s="522"/>
      <c r="D136" s="522"/>
      <c r="E136" s="522"/>
      <c r="F136" s="522"/>
      <c r="G136" s="522"/>
      <c r="H136" s="522"/>
      <c r="I136" s="522"/>
      <c r="J136" s="522"/>
      <c r="K136" s="522"/>
      <c r="L136" s="522"/>
      <c r="M136" s="522"/>
      <c r="N136" s="522"/>
      <c r="O136" s="522"/>
      <c r="P136" s="522"/>
      <c r="Q136" s="522"/>
      <c r="R136"/>
    </row>
    <row r="137" spans="1:32" s="562" customFormat="1" x14ac:dyDescent="0.2">
      <c r="A137" s="561"/>
      <c r="B137" s="561"/>
      <c r="C137" s="561"/>
      <c r="D137" s="561"/>
      <c r="E137" s="561"/>
      <c r="F137" s="561"/>
      <c r="G137" s="561"/>
      <c r="H137" s="561"/>
      <c r="I137" s="561"/>
      <c r="J137" s="561"/>
      <c r="K137" s="561"/>
      <c r="L137" s="561"/>
      <c r="M137" s="561"/>
      <c r="N137" s="561"/>
      <c r="O137" s="561"/>
      <c r="P137" s="561"/>
      <c r="Q137" s="561"/>
      <c r="R137" s="5"/>
    </row>
    <row r="138" spans="1:32" s="197" customFormat="1" ht="24.95" customHeight="1" x14ac:dyDescent="0.2">
      <c r="A138" s="740" t="s">
        <v>3734</v>
      </c>
      <c r="B138" s="187"/>
      <c r="C138" s="187"/>
      <c r="D138" s="187"/>
      <c r="E138" s="187"/>
      <c r="F138" s="187"/>
      <c r="G138" s="740" t="s">
        <v>4218</v>
      </c>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row>
    <row r="139" spans="1:32" ht="15" x14ac:dyDescent="0.25">
      <c r="B139" s="16" t="s">
        <v>3328</v>
      </c>
      <c r="C139" s="16" t="s">
        <v>3333</v>
      </c>
      <c r="D139" s="16" t="s">
        <v>3660</v>
      </c>
      <c r="E139" s="16" t="s">
        <v>3666</v>
      </c>
      <c r="G139" s="16" t="s">
        <v>4190</v>
      </c>
      <c r="H139" s="16" t="s">
        <v>4191</v>
      </c>
      <c r="I139" s="16" t="s">
        <v>4192</v>
      </c>
      <c r="J139" s="16" t="s">
        <v>4193</v>
      </c>
      <c r="K139" s="371" t="s">
        <v>4220</v>
      </c>
      <c r="AF139" s="191"/>
    </row>
    <row r="140" spans="1:32" x14ac:dyDescent="0.2">
      <c r="B140" s="10" t="str">
        <f t="shared" ref="B140:C151" si="30">C24</f>
        <v>N/A</v>
      </c>
      <c r="C140" s="32">
        <f t="shared" si="30"/>
        <v>0</v>
      </c>
      <c r="D140" s="225">
        <f>G24</f>
        <v>0</v>
      </c>
      <c r="E140" s="52" t="e">
        <f>B20</f>
        <v>#DIV/0!</v>
      </c>
      <c r="G140" s="226">
        <f>'Housing Credits'!C39</f>
        <v>0</v>
      </c>
      <c r="H140" s="226">
        <f>'Housing Credits'!D39</f>
        <v>0</v>
      </c>
      <c r="I140" s="226">
        <f>'Housing Credits'!E39</f>
        <v>0</v>
      </c>
      <c r="J140" s="226">
        <f>'Housing Credits'!C41</f>
        <v>0</v>
      </c>
      <c r="K140" s="226">
        <f>'Housing Credits'!C45</f>
        <v>0</v>
      </c>
      <c r="AF140" s="191"/>
    </row>
    <row r="141" spans="1:32" x14ac:dyDescent="0.2">
      <c r="B141" s="10" t="str">
        <f t="shared" si="30"/>
        <v>HDAP: OHTF or HOME</v>
      </c>
      <c r="C141" s="32">
        <f t="shared" si="30"/>
        <v>0</v>
      </c>
      <c r="D141" s="225">
        <f t="shared" ref="D141:D151" si="31">G25</f>
        <v>0</v>
      </c>
    </row>
    <row r="142" spans="1:32" x14ac:dyDescent="0.2">
      <c r="B142" s="10" t="str">
        <f t="shared" si="30"/>
        <v>HDAP: NHTF</v>
      </c>
      <c r="C142" s="32">
        <f t="shared" si="30"/>
        <v>0</v>
      </c>
      <c r="D142" s="225">
        <f t="shared" si="31"/>
        <v>0</v>
      </c>
    </row>
    <row r="143" spans="1:32" x14ac:dyDescent="0.2">
      <c r="B143" s="10" t="str">
        <f t="shared" si="30"/>
        <v>N/A</v>
      </c>
      <c r="C143" s="32">
        <f t="shared" si="30"/>
        <v>0</v>
      </c>
      <c r="D143" s="225">
        <f t="shared" si="31"/>
        <v>0</v>
      </c>
    </row>
    <row r="144" spans="1:32" ht="15" x14ac:dyDescent="0.25">
      <c r="B144" s="10" t="str">
        <f t="shared" si="30"/>
        <v>N/A</v>
      </c>
      <c r="C144" s="32">
        <f t="shared" si="30"/>
        <v>0</v>
      </c>
      <c r="D144" s="225">
        <f t="shared" si="31"/>
        <v>0</v>
      </c>
      <c r="I144" s="229" t="s">
        <v>3342</v>
      </c>
      <c r="J144" s="229" t="s">
        <v>3124</v>
      </c>
      <c r="K144" s="229" t="s">
        <v>3123</v>
      </c>
    </row>
    <row r="145" spans="2:11" ht="15" x14ac:dyDescent="0.25">
      <c r="B145" s="10" t="str">
        <f t="shared" si="30"/>
        <v>N/A</v>
      </c>
      <c r="C145" s="32">
        <f t="shared" si="30"/>
        <v>0</v>
      </c>
      <c r="D145" s="225">
        <f t="shared" si="31"/>
        <v>0</v>
      </c>
      <c r="F145" s="1200" t="s">
        <v>3536</v>
      </c>
      <c r="G145" s="1201"/>
      <c r="H145" s="1202"/>
      <c r="I145" s="32">
        <f>'Housing Credits'!C7</f>
        <v>0</v>
      </c>
      <c r="J145" s="32">
        <f>'Housing Credits'!D7</f>
        <v>0</v>
      </c>
      <c r="K145" s="32">
        <f>'Housing Credits'!E7</f>
        <v>0</v>
      </c>
    </row>
    <row r="146" spans="2:11" ht="15" x14ac:dyDescent="0.25">
      <c r="B146" s="10" t="str">
        <f t="shared" si="30"/>
        <v>N/A</v>
      </c>
      <c r="C146" s="32">
        <f t="shared" si="30"/>
        <v>0</v>
      </c>
      <c r="D146" s="225">
        <f t="shared" si="31"/>
        <v>0</v>
      </c>
      <c r="F146" s="1200" t="s">
        <v>3742</v>
      </c>
      <c r="G146" s="1201"/>
      <c r="H146" s="1202"/>
      <c r="I146" s="32">
        <f>'Housing Credits'!C8</f>
        <v>0</v>
      </c>
      <c r="J146" s="32">
        <f>'Housing Credits'!D8</f>
        <v>0</v>
      </c>
      <c r="K146" s="32">
        <f>'Housing Credits'!E8</f>
        <v>0</v>
      </c>
    </row>
    <row r="147" spans="2:11" ht="15" x14ac:dyDescent="0.25">
      <c r="B147" s="10" t="str">
        <f t="shared" si="30"/>
        <v>N/A</v>
      </c>
      <c r="C147" s="32">
        <f t="shared" si="30"/>
        <v>0</v>
      </c>
      <c r="D147" s="225">
        <f t="shared" si="31"/>
        <v>0</v>
      </c>
      <c r="F147" s="1200" t="s">
        <v>3751</v>
      </c>
      <c r="G147" s="1201"/>
      <c r="H147" s="1202"/>
      <c r="I147" s="32">
        <f>'Housing Credits'!C9</f>
        <v>0</v>
      </c>
      <c r="J147" s="32">
        <f>'Housing Credits'!D9</f>
        <v>0</v>
      </c>
      <c r="K147" s="32">
        <f>'Housing Credits'!E9</f>
        <v>0</v>
      </c>
    </row>
    <row r="148" spans="2:11" ht="15" x14ac:dyDescent="0.25">
      <c r="B148" s="10" t="str">
        <f t="shared" si="30"/>
        <v>N/A</v>
      </c>
      <c r="C148" s="32">
        <f t="shared" si="30"/>
        <v>0</v>
      </c>
      <c r="D148" s="225">
        <f t="shared" si="31"/>
        <v>0</v>
      </c>
      <c r="F148" s="1200" t="s">
        <v>3743</v>
      </c>
      <c r="G148" s="1201"/>
      <c r="H148" s="1202"/>
      <c r="I148" s="32">
        <f>'Housing Credits'!C10</f>
        <v>0</v>
      </c>
      <c r="J148" s="32">
        <f>'Housing Credits'!D10</f>
        <v>0</v>
      </c>
      <c r="K148" s="32">
        <f>'Housing Credits'!E10</f>
        <v>0</v>
      </c>
    </row>
    <row r="149" spans="2:11" ht="15" x14ac:dyDescent="0.25">
      <c r="B149" s="10" t="str">
        <f t="shared" si="30"/>
        <v>N/A</v>
      </c>
      <c r="C149" s="32">
        <f t="shared" si="30"/>
        <v>0</v>
      </c>
      <c r="D149" s="225">
        <f t="shared" si="31"/>
        <v>0</v>
      </c>
      <c r="F149" s="1200" t="s">
        <v>3548</v>
      </c>
      <c r="G149" s="1201"/>
      <c r="H149" s="1202"/>
      <c r="I149" s="32">
        <f>'Housing Credits'!C11</f>
        <v>0</v>
      </c>
      <c r="J149" s="32">
        <f>'Housing Credits'!D11</f>
        <v>0</v>
      </c>
      <c r="K149" s="32">
        <f>'Housing Credits'!E11</f>
        <v>0</v>
      </c>
    </row>
    <row r="150" spans="2:11" ht="15" x14ac:dyDescent="0.25">
      <c r="B150" s="10" t="str">
        <f t="shared" si="30"/>
        <v>N/A</v>
      </c>
      <c r="C150" s="32">
        <f t="shared" si="30"/>
        <v>0</v>
      </c>
      <c r="D150" s="225">
        <f t="shared" si="31"/>
        <v>0</v>
      </c>
      <c r="F150" s="1200" t="s">
        <v>3744</v>
      </c>
      <c r="G150" s="1201"/>
      <c r="H150" s="1202"/>
      <c r="I150" s="225">
        <f>'Housing Credits'!C13</f>
        <v>0</v>
      </c>
      <c r="J150" s="225">
        <f>'Housing Credits'!D13</f>
        <v>0</v>
      </c>
      <c r="K150" s="225">
        <f>'Housing Credits'!E13</f>
        <v>0</v>
      </c>
    </row>
    <row r="151" spans="2:11" x14ac:dyDescent="0.2">
      <c r="B151" s="10" t="str">
        <f t="shared" si="30"/>
        <v>N/A</v>
      </c>
      <c r="C151" s="32">
        <f t="shared" si="30"/>
        <v>0</v>
      </c>
      <c r="D151" s="225">
        <f t="shared" si="31"/>
        <v>0</v>
      </c>
    </row>
    <row r="152" spans="2:11" ht="15" x14ac:dyDescent="0.25">
      <c r="B152" s="10"/>
      <c r="C152" s="32"/>
      <c r="D152" s="225"/>
      <c r="F152" s="1200" t="s">
        <v>3745</v>
      </c>
      <c r="G152" s="1201"/>
      <c r="H152" s="1202"/>
      <c r="I152" s="32">
        <f>'Housing Credits'!C23</f>
        <v>0</v>
      </c>
      <c r="J152" s="32">
        <f>'Housing Credits'!D23</f>
        <v>0</v>
      </c>
      <c r="K152" s="32">
        <f>'Housing Credits'!E23</f>
        <v>0</v>
      </c>
    </row>
    <row r="153" spans="2:11" ht="15" x14ac:dyDescent="0.25">
      <c r="B153" s="10"/>
      <c r="C153" s="32"/>
      <c r="D153" s="225"/>
      <c r="F153" s="1200" t="s">
        <v>3746</v>
      </c>
      <c r="G153" s="1201"/>
      <c r="H153" s="1202"/>
      <c r="I153" s="171"/>
      <c r="J153" s="171"/>
      <c r="K153" s="171"/>
    </row>
    <row r="154" spans="2:11" ht="15" x14ac:dyDescent="0.25">
      <c r="C154" s="230">
        <f>SUM(C140:C153)</f>
        <v>0</v>
      </c>
      <c r="D154" s="231">
        <f>SUM(D140:D153)</f>
        <v>0</v>
      </c>
      <c r="F154" s="1200" t="s">
        <v>3747</v>
      </c>
      <c r="G154" s="1201"/>
      <c r="H154" s="1202"/>
      <c r="I154" s="32">
        <f>I152-I153</f>
        <v>0</v>
      </c>
      <c r="J154" s="32">
        <f>J152-J153</f>
        <v>0</v>
      </c>
      <c r="K154" s="32">
        <f>K152-K153</f>
        <v>0</v>
      </c>
    </row>
    <row r="155" spans="2:11" ht="15" x14ac:dyDescent="0.25">
      <c r="F155" s="1200" t="s">
        <v>3572</v>
      </c>
      <c r="G155" s="1201"/>
      <c r="H155" s="1202"/>
      <c r="I155" s="52">
        <f>IF(I145&gt;0,'Housing Credits'!$C$27,0)</f>
        <v>0</v>
      </c>
      <c r="J155" s="52">
        <f>IF(J145&gt;0,'Housing Credits'!$C$27,0)</f>
        <v>0</v>
      </c>
      <c r="K155" s="52">
        <f>IF(K145&gt;0,'Housing Credits'!$C$27,0)</f>
        <v>0</v>
      </c>
    </row>
    <row r="156" spans="2:11" ht="15" x14ac:dyDescent="0.25">
      <c r="B156" s="11" t="s">
        <v>3661</v>
      </c>
      <c r="C156" s="32">
        <f>J23</f>
        <v>0</v>
      </c>
      <c r="F156" s="1200" t="s">
        <v>3576</v>
      </c>
      <c r="G156" s="1201"/>
      <c r="H156" s="1202"/>
      <c r="I156" s="225">
        <f>'Housing Credits'!C31</f>
        <v>0.04</v>
      </c>
      <c r="J156" s="225">
        <f>'Housing Credits'!D31</f>
        <v>0.09</v>
      </c>
      <c r="K156" s="225">
        <f>'Housing Credits'!E31</f>
        <v>0.09</v>
      </c>
    </row>
    <row r="157" spans="2:11" ht="15" x14ac:dyDescent="0.25">
      <c r="B157" s="11" t="s">
        <v>4680</v>
      </c>
      <c r="C157" s="232" t="e">
        <f>C154/C156</f>
        <v>#DIV/0!</v>
      </c>
      <c r="F157" s="1200" t="s">
        <v>3748</v>
      </c>
      <c r="G157" s="1201"/>
      <c r="H157" s="1202"/>
      <c r="I157" s="226">
        <f>(I154*I155)*I156</f>
        <v>0</v>
      </c>
      <c r="J157" s="226">
        <f>(J154*J155)*J156</f>
        <v>0</v>
      </c>
      <c r="K157" s="226">
        <f>(K154*K155)*K156</f>
        <v>0</v>
      </c>
    </row>
    <row r="158" spans="2:11" ht="15" x14ac:dyDescent="0.25">
      <c r="B158" s="11" t="s">
        <v>3735</v>
      </c>
      <c r="C158" s="233" t="e">
        <f>1-C157</f>
        <v>#DIV/0!</v>
      </c>
      <c r="F158" s="1200" t="s">
        <v>3749</v>
      </c>
      <c r="G158" s="1201"/>
      <c r="H158" s="1202"/>
      <c r="I158" s="32">
        <f>'Housing Credits'!C35</f>
        <v>0</v>
      </c>
      <c r="J158" s="32">
        <f>'Housing Credits'!D35</f>
        <v>0</v>
      </c>
      <c r="K158" s="32">
        <f>'Housing Credits'!E35</f>
        <v>0</v>
      </c>
    </row>
    <row r="159" spans="2:11" ht="15" x14ac:dyDescent="0.25">
      <c r="F159" s="1200" t="s">
        <v>3750</v>
      </c>
      <c r="G159" s="1201"/>
      <c r="H159" s="1202"/>
      <c r="I159" s="226">
        <f>I157-I158</f>
        <v>0</v>
      </c>
      <c r="J159" s="226">
        <f>J157-J158</f>
        <v>0</v>
      </c>
      <c r="K159" s="226">
        <f>K157-K158</f>
        <v>0</v>
      </c>
    </row>
    <row r="160" spans="2:11" ht="15" x14ac:dyDescent="0.25">
      <c r="B160" s="11" t="s">
        <v>3736</v>
      </c>
      <c r="C160" s="32">
        <f>C156-SUM(C141:C153)</f>
        <v>0</v>
      </c>
      <c r="F160" s="1200" t="s">
        <v>3752</v>
      </c>
      <c r="G160" s="1201"/>
      <c r="H160" s="1202"/>
      <c r="I160" s="32">
        <f>I159+J159+K159</f>
        <v>0</v>
      </c>
    </row>
    <row r="161" spans="2:9" ht="15" x14ac:dyDescent="0.25">
      <c r="F161" s="1200" t="s">
        <v>3753</v>
      </c>
      <c r="G161" s="1201"/>
      <c r="H161" s="1202"/>
      <c r="I161" s="32">
        <f>I160*10</f>
        <v>0</v>
      </c>
    </row>
    <row r="162" spans="2:9" ht="15" x14ac:dyDescent="0.25">
      <c r="B162" s="11" t="s">
        <v>3737</v>
      </c>
      <c r="C162" s="32">
        <f>C140-C160</f>
        <v>0</v>
      </c>
      <c r="F162" s="1200" t="s">
        <v>4219</v>
      </c>
      <c r="G162" s="1201"/>
      <c r="H162" s="1202"/>
      <c r="I162" s="32">
        <f>I160-J140</f>
        <v>0</v>
      </c>
    </row>
    <row r="163" spans="2:9" ht="15" x14ac:dyDescent="0.25">
      <c r="B163" s="11" t="s">
        <v>3738</v>
      </c>
      <c r="C163" s="32">
        <f>C162-C140</f>
        <v>0</v>
      </c>
    </row>
    <row r="165" spans="2:9" ht="15" x14ac:dyDescent="0.25">
      <c r="B165" s="11" t="s">
        <v>3739</v>
      </c>
      <c r="C165" s="32">
        <f>D36-J23</f>
        <v>0</v>
      </c>
    </row>
    <row r="166" spans="2:9" ht="15" x14ac:dyDescent="0.25">
      <c r="B166" s="11" t="s">
        <v>3740</v>
      </c>
      <c r="C166" s="232" t="e">
        <f>C165/C156</f>
        <v>#DIV/0!</v>
      </c>
    </row>
  </sheetData>
  <sheetProtection algorithmName="SHA-512" hashValue="pMGPn0ATmTMDT+hRguBjp3IzFhBAnzMKeB5Is2I9f80BJzdFrxYM2EplTAVRFcC2PQjAD9Mtlo3NPvujjXx1Qg==" saltValue="TwyV0lPr+OmFMpUT97qosw==" spinCount="100000" sheet="1" objects="1" scenarios="1"/>
  <mergeCells count="19">
    <mergeCell ref="C6:E6"/>
    <mergeCell ref="F149:H149"/>
    <mergeCell ref="F148:H148"/>
    <mergeCell ref="F147:H147"/>
    <mergeCell ref="F146:H146"/>
    <mergeCell ref="F161:H161"/>
    <mergeCell ref="F162:H162"/>
    <mergeCell ref="F160:H160"/>
    <mergeCell ref="F159:H159"/>
    <mergeCell ref="F158:H158"/>
    <mergeCell ref="F150:H150"/>
    <mergeCell ref="C7:D7"/>
    <mergeCell ref="F145:H145"/>
    <mergeCell ref="F152:H152"/>
    <mergeCell ref="F157:H157"/>
    <mergeCell ref="F156:H156"/>
    <mergeCell ref="F155:H155"/>
    <mergeCell ref="F154:H154"/>
    <mergeCell ref="F153:H153"/>
  </mergeCells>
  <conditionalFormatting sqref="C109:AF109 C112:AF112">
    <cfRule type="cellIs" dxfId="96" priority="3" operator="lessThan">
      <formula>1</formula>
    </cfRule>
    <cfRule type="cellIs" dxfId="95" priority="4" operator="lessThan">
      <formula>1.2</formula>
    </cfRule>
    <cfRule type="cellIs" dxfId="94" priority="5" operator="greaterThan">
      <formula>1.5</formula>
    </cfRule>
  </conditionalFormatting>
  <dataValidations disablePrompts="1" count="1">
    <dataValidation type="decimal" errorStyle="information" allowBlank="1" showErrorMessage="1" errorTitle="Debt Coverage Ratio" error="The DCR for the first stable year exceeds 1.30.  The HDAP or HDLP amount may be reduced prior to the Housing Credit amount." sqref="C127 C118 D116:D117" xr:uid="{00000000-0002-0000-0600-000000000000}">
      <formula1>0</formula1>
      <formula2>1.3</formula2>
    </dataValidation>
  </dataValidations>
  <pageMargins left="0.7" right="0.7" top="0.75" bottom="0.75" header="0.3" footer="0.3"/>
  <pageSetup scale="34" orientation="portrait" r:id="rId1"/>
  <colBreaks count="1" manualBreakCount="1">
    <brk id="16" max="136" man="1"/>
  </colBreaks>
  <ignoredErrors>
    <ignoredError sqref="D85:AF85 D103:F103" formula="1"/>
    <ignoredError sqref="C16:D16 B20 J24 J34 J36 C112:AF112 C119:Q119 C124 D130:D133 E140 G140:J140 J152:K152 J154:K154 C157:C158 J157:K157 J159:K159 I160:I162 C166 B13:E13" evalError="1"/>
  </ignoredError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253"/>
  <sheetViews>
    <sheetView zoomScale="85" zoomScaleNormal="85" workbookViewId="0">
      <selection activeCell="D70" sqref="D70"/>
    </sheetView>
  </sheetViews>
  <sheetFormatPr defaultColWidth="9" defaultRowHeight="14.25" x14ac:dyDescent="0.2"/>
  <cols>
    <col min="1" max="1" width="6.25" style="5" customWidth="1"/>
    <col min="2" max="2" width="3.25" style="5" customWidth="1"/>
    <col min="3" max="3" width="28.5" style="5" customWidth="1"/>
    <col min="4" max="4" width="32.625" style="53" customWidth="1"/>
    <col min="5" max="5" width="9" style="5"/>
    <col min="6" max="6" width="11.625" style="5" customWidth="1"/>
    <col min="7" max="7" width="28.75" style="53" customWidth="1"/>
    <col min="8" max="8" width="10.875" style="5" customWidth="1"/>
    <col min="9" max="9" width="23.5" style="5" customWidth="1"/>
    <col min="10" max="10" width="25.75" style="53" customWidth="1"/>
    <col min="11" max="11" width="6" style="5" customWidth="1"/>
    <col min="12" max="12" width="11.75" style="5" customWidth="1"/>
    <col min="13" max="13" width="36.375" style="53" customWidth="1"/>
    <col min="14" max="14" width="17" style="191" bestFit="1" customWidth="1"/>
    <col min="15" max="15" width="40" style="191" customWidth="1"/>
    <col min="16" max="16384" width="9" style="191"/>
  </cols>
  <sheetData>
    <row r="1" spans="1:13" ht="54.95" customHeight="1" x14ac:dyDescent="0.2"/>
    <row r="2" spans="1:13" s="192" customFormat="1" ht="22.5" x14ac:dyDescent="0.3">
      <c r="A2" s="3" t="s">
        <v>3108</v>
      </c>
      <c r="B2" s="1"/>
      <c r="C2" s="1"/>
      <c r="D2" s="181"/>
      <c r="E2" s="1"/>
      <c r="F2" s="1"/>
      <c r="G2" s="181"/>
      <c r="H2" s="1"/>
      <c r="I2" s="1"/>
      <c r="J2" s="181"/>
      <c r="K2" s="1"/>
      <c r="L2" s="1"/>
      <c r="M2" s="181"/>
    </row>
    <row r="3" spans="1:13" s="193" customFormat="1" ht="15.75" x14ac:dyDescent="0.25">
      <c r="A3" s="4" t="s">
        <v>4297</v>
      </c>
      <c r="B3" s="2"/>
      <c r="C3" s="38">
        <f>'Project Details'!C7</f>
        <v>0</v>
      </c>
      <c r="D3" s="38"/>
      <c r="E3" s="2"/>
      <c r="F3" s="2"/>
      <c r="G3" s="182"/>
      <c r="H3" s="2"/>
      <c r="I3" s="2"/>
      <c r="J3" s="182"/>
      <c r="K3" s="2"/>
      <c r="L3" s="2"/>
      <c r="M3" s="182"/>
    </row>
    <row r="5" spans="1:13" ht="18" x14ac:dyDescent="0.25">
      <c r="A5" s="6" t="s">
        <v>4649</v>
      </c>
      <c r="I5" s="6" t="s">
        <v>4648</v>
      </c>
    </row>
    <row r="6" spans="1:13" ht="15.75" x14ac:dyDescent="0.25">
      <c r="C6" s="5" t="s">
        <v>3095</v>
      </c>
      <c r="D6" s="163"/>
      <c r="F6" s="183" t="s">
        <v>3073</v>
      </c>
      <c r="I6" s="5" t="s">
        <v>3095</v>
      </c>
      <c r="J6" s="163"/>
      <c r="L6" s="183" t="s">
        <v>3073</v>
      </c>
    </row>
    <row r="7" spans="1:13" x14ac:dyDescent="0.2">
      <c r="C7" s="5" t="s">
        <v>3061</v>
      </c>
      <c r="D7" s="163"/>
      <c r="F7" s="5" t="s">
        <v>3064</v>
      </c>
      <c r="G7" s="163"/>
      <c r="I7" s="5" t="s">
        <v>3061</v>
      </c>
      <c r="J7" s="163"/>
      <c r="L7" s="5" t="s">
        <v>3064</v>
      </c>
      <c r="M7" s="163"/>
    </row>
    <row r="8" spans="1:13" x14ac:dyDescent="0.2">
      <c r="C8" s="5" t="s">
        <v>3062</v>
      </c>
      <c r="D8" s="163"/>
      <c r="F8" s="5" t="s">
        <v>3068</v>
      </c>
      <c r="G8" s="163"/>
      <c r="I8" s="5" t="s">
        <v>3062</v>
      </c>
      <c r="J8" s="163"/>
      <c r="L8" s="5" t="s">
        <v>3068</v>
      </c>
      <c r="M8" s="163"/>
    </row>
    <row r="9" spans="1:13" x14ac:dyDescent="0.2">
      <c r="C9" s="5" t="s">
        <v>11</v>
      </c>
      <c r="D9" s="163"/>
      <c r="F9" s="5" t="s">
        <v>3069</v>
      </c>
      <c r="G9" s="163"/>
      <c r="I9" s="5" t="s">
        <v>11</v>
      </c>
      <c r="J9" s="163"/>
      <c r="L9" s="5" t="s">
        <v>3069</v>
      </c>
      <c r="M9" s="163"/>
    </row>
    <row r="10" spans="1:13" x14ac:dyDescent="0.2">
      <c r="C10" s="5" t="s">
        <v>3063</v>
      </c>
      <c r="D10" s="163"/>
      <c r="F10" s="5" t="s">
        <v>3070</v>
      </c>
      <c r="G10" s="163"/>
      <c r="I10" s="5" t="s">
        <v>3063</v>
      </c>
      <c r="J10" s="163"/>
      <c r="L10" s="5" t="s">
        <v>3071</v>
      </c>
      <c r="M10" s="163"/>
    </row>
    <row r="11" spans="1:13" x14ac:dyDescent="0.2">
      <c r="C11" s="5" t="s">
        <v>10</v>
      </c>
      <c r="D11" s="157"/>
      <c r="F11" s="5" t="s">
        <v>3071</v>
      </c>
      <c r="G11" s="163"/>
      <c r="I11" s="5" t="s">
        <v>10</v>
      </c>
      <c r="J11" s="157"/>
      <c r="L11" s="5" t="s">
        <v>3070</v>
      </c>
      <c r="M11" s="163"/>
    </row>
    <row r="12" spans="1:13" x14ac:dyDescent="0.2">
      <c r="C12" s="5" t="s">
        <v>4313</v>
      </c>
      <c r="D12" s="137"/>
      <c r="F12" s="5" t="s">
        <v>3072</v>
      </c>
      <c r="G12" s="158"/>
      <c r="I12" s="5" t="s">
        <v>4313</v>
      </c>
      <c r="J12" s="137"/>
      <c r="L12" s="5" t="s">
        <v>3072</v>
      </c>
      <c r="M12" s="158"/>
    </row>
    <row r="13" spans="1:13" x14ac:dyDescent="0.2">
      <c r="C13" s="5" t="s">
        <v>3066</v>
      </c>
      <c r="D13" s="365"/>
      <c r="F13" s="5" t="s">
        <v>3808</v>
      </c>
      <c r="G13" s="158"/>
      <c r="I13" s="5" t="s">
        <v>3066</v>
      </c>
      <c r="J13" s="365"/>
      <c r="L13" s="5" t="s">
        <v>3808</v>
      </c>
      <c r="M13" s="158"/>
    </row>
    <row r="14" spans="1:13" x14ac:dyDescent="0.2">
      <c r="C14" s="5" t="s">
        <v>3075</v>
      </c>
      <c r="D14" s="163"/>
      <c r="F14" s="5" t="s">
        <v>3074</v>
      </c>
      <c r="G14" s="163"/>
      <c r="I14" s="5" t="s">
        <v>3075</v>
      </c>
      <c r="J14" s="163"/>
      <c r="L14" s="5" t="s">
        <v>3074</v>
      </c>
      <c r="M14" s="163"/>
    </row>
    <row r="15" spans="1:13" x14ac:dyDescent="0.2">
      <c r="M15" s="414"/>
    </row>
    <row r="16" spans="1:13" ht="18" x14ac:dyDescent="0.25">
      <c r="A16" s="6" t="s">
        <v>4152</v>
      </c>
      <c r="D16" s="5"/>
      <c r="F16" s="183"/>
      <c r="I16" s="37" t="s">
        <v>4285</v>
      </c>
      <c r="J16" s="137"/>
      <c r="M16" s="414"/>
    </row>
    <row r="17" spans="1:13" x14ac:dyDescent="0.2">
      <c r="C17" s="5" t="s">
        <v>4151</v>
      </c>
      <c r="D17" s="163"/>
      <c r="J17" s="5"/>
      <c r="M17" s="414"/>
    </row>
    <row r="18" spans="1:13" x14ac:dyDescent="0.2">
      <c r="C18" s="5" t="s">
        <v>3071</v>
      </c>
      <c r="D18" s="163"/>
      <c r="J18"/>
      <c r="M18" s="414"/>
    </row>
    <row r="19" spans="1:13" x14ac:dyDescent="0.2">
      <c r="M19" s="414"/>
    </row>
    <row r="20" spans="1:13" ht="18" x14ac:dyDescent="0.25">
      <c r="A20" s="6" t="s">
        <v>4647</v>
      </c>
      <c r="M20" s="414"/>
    </row>
    <row r="21" spans="1:13" ht="15.75" x14ac:dyDescent="0.25">
      <c r="C21" s="5" t="s">
        <v>3096</v>
      </c>
      <c r="D21" s="163"/>
      <c r="F21" s="183" t="s">
        <v>3073</v>
      </c>
      <c r="M21" s="414"/>
    </row>
    <row r="22" spans="1:13" ht="14.25" customHeight="1" x14ac:dyDescent="0.2">
      <c r="C22" s="5" t="s">
        <v>3061</v>
      </c>
      <c r="D22" s="163"/>
      <c r="F22" s="5" t="s">
        <v>3068</v>
      </c>
      <c r="G22" s="163"/>
      <c r="J22" s="5"/>
      <c r="M22" s="414"/>
    </row>
    <row r="23" spans="1:13" ht="14.25" customHeight="1" x14ac:dyDescent="0.2">
      <c r="C23" s="5" t="s">
        <v>3062</v>
      </c>
      <c r="D23" s="163"/>
      <c r="F23" s="5" t="s">
        <v>3069</v>
      </c>
      <c r="G23" s="163"/>
      <c r="J23" s="5"/>
      <c r="M23" s="414"/>
    </row>
    <row r="24" spans="1:13" ht="14.25" customHeight="1" x14ac:dyDescent="0.2">
      <c r="C24" s="5" t="s">
        <v>11</v>
      </c>
      <c r="D24" s="163"/>
      <c r="F24" s="5" t="s">
        <v>3070</v>
      </c>
      <c r="G24" s="163"/>
      <c r="J24" s="5"/>
      <c r="M24" s="414"/>
    </row>
    <row r="25" spans="1:13" ht="14.25" customHeight="1" x14ac:dyDescent="0.2">
      <c r="C25" s="5" t="s">
        <v>3063</v>
      </c>
      <c r="D25" s="163"/>
      <c r="F25" s="5" t="s">
        <v>3072</v>
      </c>
      <c r="G25" s="158"/>
      <c r="J25" s="5"/>
      <c r="M25" s="414"/>
    </row>
    <row r="26" spans="1:13" ht="14.25" customHeight="1" x14ac:dyDescent="0.2">
      <c r="C26" s="5" t="s">
        <v>10</v>
      </c>
      <c r="D26" s="157"/>
      <c r="F26" s="5" t="s">
        <v>3808</v>
      </c>
      <c r="G26" s="158"/>
      <c r="J26" s="5"/>
      <c r="M26" s="414"/>
    </row>
    <row r="27" spans="1:13" ht="14.25" customHeight="1" x14ac:dyDescent="0.2">
      <c r="C27" s="5" t="s">
        <v>4313</v>
      </c>
      <c r="D27" s="137"/>
      <c r="F27" s="5" t="s">
        <v>3074</v>
      </c>
      <c r="G27" s="163"/>
      <c r="J27" s="5"/>
      <c r="M27" s="414"/>
    </row>
    <row r="28" spans="1:13" ht="14.25" customHeight="1" x14ac:dyDescent="0.2">
      <c r="C28" s="5" t="s">
        <v>3066</v>
      </c>
      <c r="D28" s="365"/>
      <c r="J28" s="5"/>
      <c r="M28" s="414"/>
    </row>
    <row r="29" spans="1:13" ht="14.25" customHeight="1" x14ac:dyDescent="0.2">
      <c r="C29" s="5" t="s">
        <v>3075</v>
      </c>
      <c r="D29" s="163"/>
      <c r="F29" s="1044" t="s">
        <v>4307</v>
      </c>
      <c r="G29" s="137"/>
      <c r="J29" s="5"/>
      <c r="M29" s="414"/>
    </row>
    <row r="30" spans="1:13" ht="15" customHeight="1" x14ac:dyDescent="0.2">
      <c r="F30" s="1044"/>
      <c r="J30" s="5"/>
      <c r="M30" s="414"/>
    </row>
    <row r="31" spans="1:13" x14ac:dyDescent="0.2">
      <c r="C31" s="5" t="s">
        <v>3092</v>
      </c>
      <c r="D31" s="163"/>
      <c r="F31" s="1044"/>
      <c r="M31" s="414"/>
    </row>
    <row r="32" spans="1:13" x14ac:dyDescent="0.2">
      <c r="C32" s="5" t="s">
        <v>3093</v>
      </c>
      <c r="D32" s="163"/>
      <c r="F32" s="1044"/>
      <c r="M32" s="414"/>
    </row>
    <row r="33" spans="1:13" x14ac:dyDescent="0.2">
      <c r="C33" s="5" t="s">
        <v>3094</v>
      </c>
      <c r="D33" s="163"/>
      <c r="F33" s="1044"/>
      <c r="M33" s="414"/>
    </row>
    <row r="34" spans="1:13" x14ac:dyDescent="0.2">
      <c r="M34" s="414"/>
    </row>
    <row r="35" spans="1:13" ht="18.75" x14ac:dyDescent="0.3">
      <c r="A35" s="6" t="s">
        <v>5318</v>
      </c>
      <c r="I35" s="6" t="s">
        <v>4650</v>
      </c>
      <c r="M35" s="414"/>
    </row>
    <row r="36" spans="1:13" ht="15.75" x14ac:dyDescent="0.25">
      <c r="C36" s="5" t="s">
        <v>4310</v>
      </c>
      <c r="D36" s="163"/>
      <c r="F36" s="183" t="s">
        <v>3073</v>
      </c>
      <c r="L36" s="183" t="s">
        <v>3631</v>
      </c>
      <c r="M36" s="414"/>
    </row>
    <row r="37" spans="1:13" x14ac:dyDescent="0.2">
      <c r="C37" s="5" t="s">
        <v>3061</v>
      </c>
      <c r="D37" s="163"/>
      <c r="F37" s="9" t="s">
        <v>4080</v>
      </c>
      <c r="I37" s="5" t="s">
        <v>3630</v>
      </c>
      <c r="J37" s="163"/>
      <c r="L37" s="5" t="s">
        <v>3068</v>
      </c>
      <c r="M37" s="163"/>
    </row>
    <row r="38" spans="1:13" x14ac:dyDescent="0.2">
      <c r="C38" s="5" t="s">
        <v>3062</v>
      </c>
      <c r="D38" s="163"/>
      <c r="F38" s="5" t="s">
        <v>3068</v>
      </c>
      <c r="G38" s="163"/>
      <c r="I38" s="5" t="s">
        <v>3061</v>
      </c>
      <c r="J38" s="163"/>
      <c r="L38" s="5" t="s">
        <v>3069</v>
      </c>
      <c r="M38" s="163"/>
    </row>
    <row r="39" spans="1:13" x14ac:dyDescent="0.2">
      <c r="C39" s="5" t="s">
        <v>11</v>
      </c>
      <c r="D39" s="163"/>
      <c r="F39" s="5" t="s">
        <v>3069</v>
      </c>
      <c r="G39" s="163"/>
      <c r="I39" s="5" t="s">
        <v>3062</v>
      </c>
      <c r="J39" s="163"/>
      <c r="L39" s="5" t="s">
        <v>3070</v>
      </c>
      <c r="M39" s="163"/>
    </row>
    <row r="40" spans="1:13" x14ac:dyDescent="0.2">
      <c r="C40" s="5" t="s">
        <v>3063</v>
      </c>
      <c r="D40" s="163"/>
      <c r="F40" s="5" t="s">
        <v>3070</v>
      </c>
      <c r="G40" s="163"/>
      <c r="I40" s="5" t="s">
        <v>11</v>
      </c>
      <c r="J40" s="163"/>
      <c r="L40" s="5" t="s">
        <v>3072</v>
      </c>
      <c r="M40" s="158"/>
    </row>
    <row r="41" spans="1:13" x14ac:dyDescent="0.2">
      <c r="C41" s="5" t="s">
        <v>10</v>
      </c>
      <c r="D41" s="157"/>
      <c r="F41" s="5" t="s">
        <v>3071</v>
      </c>
      <c r="G41" s="163"/>
      <c r="I41" s="5" t="s">
        <v>3063</v>
      </c>
      <c r="J41" s="163"/>
      <c r="L41" s="5" t="s">
        <v>3074</v>
      </c>
      <c r="M41" s="163"/>
    </row>
    <row r="42" spans="1:13" x14ac:dyDescent="0.2">
      <c r="C42" s="5" t="s">
        <v>3066</v>
      </c>
      <c r="D42" s="365"/>
      <c r="F42" s="5" t="s">
        <v>3072</v>
      </c>
      <c r="G42" s="158"/>
      <c r="I42" s="5" t="s">
        <v>10</v>
      </c>
      <c r="J42" s="157"/>
      <c r="M42" s="5"/>
    </row>
    <row r="43" spans="1:13" x14ac:dyDescent="0.2">
      <c r="C43" s="5" t="s">
        <v>3067</v>
      </c>
      <c r="D43" s="424">
        <v>1</v>
      </c>
      <c r="F43" s="5" t="s">
        <v>3074</v>
      </c>
      <c r="G43" s="163"/>
      <c r="I43" s="5" t="s">
        <v>4313</v>
      </c>
      <c r="J43" s="137"/>
    </row>
    <row r="44" spans="1:13" x14ac:dyDescent="0.2">
      <c r="C44" s="5" t="s">
        <v>4313</v>
      </c>
      <c r="D44" s="137"/>
      <c r="F44" s="5" t="s">
        <v>3075</v>
      </c>
      <c r="G44" s="163"/>
      <c r="I44" s="5" t="s">
        <v>3066</v>
      </c>
      <c r="J44" s="365"/>
    </row>
    <row r="45" spans="1:13" ht="15.75" x14ac:dyDescent="0.25">
      <c r="C45" s="5" t="s">
        <v>4309</v>
      </c>
      <c r="D45" s="137"/>
      <c r="I45" s="5" t="s">
        <v>3088</v>
      </c>
      <c r="J45" s="139"/>
      <c r="L45" s="183" t="s">
        <v>4040</v>
      </c>
    </row>
    <row r="46" spans="1:13" x14ac:dyDescent="0.2">
      <c r="C46" s="53" t="s">
        <v>4311</v>
      </c>
      <c r="D46" s="163"/>
      <c r="G46" s="5"/>
      <c r="I46" s="5" t="s">
        <v>3075</v>
      </c>
      <c r="J46" s="163"/>
      <c r="L46" s="5" t="s">
        <v>3632</v>
      </c>
      <c r="M46" s="163"/>
    </row>
    <row r="47" spans="1:13" x14ac:dyDescent="0.2">
      <c r="J47" s="5"/>
      <c r="L47" s="5" t="s">
        <v>3070</v>
      </c>
      <c r="M47" s="163"/>
    </row>
    <row r="48" spans="1:13" ht="15.75" x14ac:dyDescent="0.25">
      <c r="C48" s="183" t="s">
        <v>3076</v>
      </c>
      <c r="F48" s="183" t="s">
        <v>4315</v>
      </c>
      <c r="M48" s="5"/>
    </row>
    <row r="49" spans="1:13" x14ac:dyDescent="0.2">
      <c r="C49" s="9" t="s">
        <v>4079</v>
      </c>
      <c r="F49" s="9" t="s">
        <v>3077</v>
      </c>
    </row>
    <row r="50" spans="1:13" x14ac:dyDescent="0.2">
      <c r="C50" s="5" t="s">
        <v>3068</v>
      </c>
      <c r="D50" s="163"/>
      <c r="F50" s="5" t="s">
        <v>3068</v>
      </c>
      <c r="G50" s="163"/>
    </row>
    <row r="51" spans="1:13" x14ac:dyDescent="0.2">
      <c r="C51" s="5" t="s">
        <v>3069</v>
      </c>
      <c r="D51" s="163"/>
      <c r="F51" s="5" t="s">
        <v>3069</v>
      </c>
      <c r="G51" s="163"/>
    </row>
    <row r="52" spans="1:13" x14ac:dyDescent="0.2">
      <c r="C52" s="5" t="s">
        <v>3070</v>
      </c>
      <c r="D52" s="163"/>
      <c r="F52" s="5" t="s">
        <v>3070</v>
      </c>
      <c r="G52" s="163"/>
    </row>
    <row r="53" spans="1:13" x14ac:dyDescent="0.2">
      <c r="C53" s="5" t="s">
        <v>3071</v>
      </c>
      <c r="D53" s="163"/>
      <c r="F53" s="5" t="s">
        <v>3071</v>
      </c>
      <c r="G53" s="163"/>
    </row>
    <row r="54" spans="1:13" x14ac:dyDescent="0.2">
      <c r="C54" s="5" t="s">
        <v>3072</v>
      </c>
      <c r="D54" s="158"/>
      <c r="F54" s="5" t="s">
        <v>3072</v>
      </c>
      <c r="G54" s="158"/>
    </row>
    <row r="55" spans="1:13" x14ac:dyDescent="0.2">
      <c r="C55" s="5" t="s">
        <v>3074</v>
      </c>
      <c r="D55" s="163"/>
      <c r="F55" s="5" t="s">
        <v>3074</v>
      </c>
      <c r="G55" s="163"/>
    </row>
    <row r="56" spans="1:13" x14ac:dyDescent="0.2">
      <c r="D56" s="414"/>
    </row>
    <row r="57" spans="1:13" ht="18" x14ac:dyDescent="0.25">
      <c r="A57" s="6" t="s">
        <v>4646</v>
      </c>
      <c r="D57" s="414"/>
      <c r="J57" s="5"/>
      <c r="M57" s="5"/>
    </row>
    <row r="58" spans="1:13" ht="15.75" x14ac:dyDescent="0.25">
      <c r="C58" s="5" t="s">
        <v>4331</v>
      </c>
      <c r="D58" s="163"/>
      <c r="F58" s="183" t="s">
        <v>3073</v>
      </c>
      <c r="J58" s="5"/>
      <c r="M58" s="5"/>
    </row>
    <row r="59" spans="1:13" x14ac:dyDescent="0.2">
      <c r="C59" s="5" t="s">
        <v>3061</v>
      </c>
      <c r="D59" s="163"/>
      <c r="F59" s="9" t="s">
        <v>4080</v>
      </c>
      <c r="J59" s="5"/>
      <c r="M59" s="5"/>
    </row>
    <row r="60" spans="1:13" x14ac:dyDescent="0.2">
      <c r="C60" s="5" t="s">
        <v>3062</v>
      </c>
      <c r="D60" s="163"/>
      <c r="F60" s="5" t="s">
        <v>3068</v>
      </c>
      <c r="G60" s="163"/>
      <c r="J60" s="5"/>
      <c r="M60" s="5"/>
    </row>
    <row r="61" spans="1:13" x14ac:dyDescent="0.2">
      <c r="C61" s="5" t="s">
        <v>11</v>
      </c>
      <c r="D61" s="163"/>
      <c r="F61" s="5" t="s">
        <v>3069</v>
      </c>
      <c r="G61" s="163"/>
      <c r="J61" s="5"/>
      <c r="M61" s="5"/>
    </row>
    <row r="62" spans="1:13" x14ac:dyDescent="0.2">
      <c r="C62" s="5" t="s">
        <v>3063</v>
      </c>
      <c r="D62" s="163"/>
      <c r="F62" s="5" t="s">
        <v>3070</v>
      </c>
      <c r="G62" s="163"/>
      <c r="J62" s="5"/>
      <c r="M62" s="5"/>
    </row>
    <row r="63" spans="1:13" x14ac:dyDescent="0.2">
      <c r="C63" s="5" t="s">
        <v>10</v>
      </c>
      <c r="D63" s="157"/>
      <c r="F63" s="5" t="s">
        <v>3071</v>
      </c>
      <c r="G63" s="163"/>
      <c r="J63" s="5"/>
      <c r="M63" s="5"/>
    </row>
    <row r="64" spans="1:13" x14ac:dyDescent="0.2">
      <c r="C64" s="5" t="s">
        <v>4313</v>
      </c>
      <c r="D64" s="137"/>
      <c r="F64" s="5" t="s">
        <v>3072</v>
      </c>
      <c r="G64" s="158"/>
      <c r="J64" s="5"/>
      <c r="M64" s="5"/>
    </row>
    <row r="65" spans="1:13" x14ac:dyDescent="0.2">
      <c r="C65" s="5" t="s">
        <v>3065</v>
      </c>
      <c r="D65" s="137"/>
      <c r="F65" s="5" t="s">
        <v>3074</v>
      </c>
      <c r="G65" s="163"/>
      <c r="J65" s="5"/>
      <c r="M65" s="5"/>
    </row>
    <row r="66" spans="1:13" x14ac:dyDescent="0.2">
      <c r="C66" s="53" t="s">
        <v>4311</v>
      </c>
      <c r="D66" s="163"/>
      <c r="F66" s="5" t="s">
        <v>3075</v>
      </c>
      <c r="G66" s="163"/>
      <c r="J66" s="5"/>
      <c r="M66" s="5"/>
    </row>
    <row r="67" spans="1:13" x14ac:dyDescent="0.2">
      <c r="C67" s="5" t="s">
        <v>3066</v>
      </c>
      <c r="D67" s="365"/>
      <c r="G67" s="5"/>
      <c r="J67" s="5"/>
      <c r="M67" s="5"/>
    </row>
    <row r="68" spans="1:13" x14ac:dyDescent="0.2">
      <c r="C68" s="5" t="s">
        <v>4312</v>
      </c>
      <c r="D68" s="138"/>
      <c r="G68" s="5"/>
      <c r="J68" s="5"/>
      <c r="M68" s="5"/>
    </row>
    <row r="69" spans="1:13" x14ac:dyDescent="0.2">
      <c r="C69" s="53" t="s">
        <v>3866</v>
      </c>
      <c r="D69" s="163"/>
      <c r="J69" s="5"/>
      <c r="M69" s="5"/>
    </row>
    <row r="70" spans="1:13" x14ac:dyDescent="0.2">
      <c r="C70" s="53" t="s">
        <v>5200</v>
      </c>
      <c r="D70" s="137" t="s">
        <v>2973</v>
      </c>
      <c r="J70" s="5"/>
      <c r="M70" s="5"/>
    </row>
    <row r="71" spans="1:13" x14ac:dyDescent="0.2">
      <c r="D71" s="5"/>
      <c r="G71" s="5"/>
      <c r="J71" s="5"/>
      <c r="M71" s="5"/>
    </row>
    <row r="72" spans="1:13" ht="18" x14ac:dyDescent="0.25">
      <c r="A72" s="6" t="s">
        <v>4645</v>
      </c>
    </row>
    <row r="73" spans="1:13" ht="15.75" x14ac:dyDescent="0.25">
      <c r="B73" s="1208" t="s">
        <v>4345</v>
      </c>
      <c r="C73" s="5" t="s">
        <v>4316</v>
      </c>
      <c r="D73" s="163"/>
      <c r="F73" s="183" t="s">
        <v>3073</v>
      </c>
    </row>
    <row r="74" spans="1:13" x14ac:dyDescent="0.2">
      <c r="B74" s="1209"/>
      <c r="C74" s="5" t="s">
        <v>3061</v>
      </c>
      <c r="D74" s="163"/>
      <c r="F74" s="5" t="s">
        <v>3068</v>
      </c>
      <c r="G74" s="163"/>
    </row>
    <row r="75" spans="1:13" x14ac:dyDescent="0.2">
      <c r="B75" s="1209"/>
      <c r="C75" s="5" t="s">
        <v>3062</v>
      </c>
      <c r="D75" s="163"/>
      <c r="F75" s="5" t="s">
        <v>3069</v>
      </c>
      <c r="G75" s="163"/>
    </row>
    <row r="76" spans="1:13" x14ac:dyDescent="0.2">
      <c r="B76" s="1209"/>
      <c r="C76" s="5" t="s">
        <v>11</v>
      </c>
      <c r="D76" s="163"/>
      <c r="F76" s="5" t="s">
        <v>3070</v>
      </c>
      <c r="G76" s="163"/>
    </row>
    <row r="77" spans="1:13" x14ac:dyDescent="0.2">
      <c r="B77" s="1209"/>
      <c r="C77" s="5" t="s">
        <v>3063</v>
      </c>
      <c r="D77" s="163"/>
      <c r="F77" s="5" t="s">
        <v>3071</v>
      </c>
      <c r="G77" s="163"/>
    </row>
    <row r="78" spans="1:13" x14ac:dyDescent="0.2">
      <c r="B78" s="1209"/>
      <c r="C78" s="5" t="s">
        <v>10</v>
      </c>
      <c r="D78" s="157"/>
      <c r="F78" s="5" t="s">
        <v>3072</v>
      </c>
      <c r="G78" s="158"/>
    </row>
    <row r="79" spans="1:13" x14ac:dyDescent="0.2">
      <c r="B79" s="1209"/>
      <c r="C79" s="5" t="s">
        <v>4313</v>
      </c>
      <c r="D79" s="137"/>
      <c r="F79" s="5" t="s">
        <v>3074</v>
      </c>
      <c r="G79" s="163"/>
    </row>
    <row r="80" spans="1:13" x14ac:dyDescent="0.2">
      <c r="B80" s="1209"/>
      <c r="C80" s="5" t="s">
        <v>3065</v>
      </c>
      <c r="D80" s="137"/>
      <c r="F80" s="5" t="s">
        <v>3075</v>
      </c>
      <c r="G80" s="163"/>
    </row>
    <row r="81" spans="2:7" x14ac:dyDescent="0.2">
      <c r="B81" s="1209"/>
      <c r="C81" s="53" t="s">
        <v>4311</v>
      </c>
      <c r="D81" s="163"/>
      <c r="G81" s="5"/>
    </row>
    <row r="82" spans="2:7" x14ac:dyDescent="0.2">
      <c r="B82" s="1209"/>
      <c r="C82" s="5" t="s">
        <v>3066</v>
      </c>
      <c r="D82" s="365"/>
      <c r="G82" s="5"/>
    </row>
    <row r="83" spans="2:7" x14ac:dyDescent="0.2">
      <c r="B83" s="1209"/>
      <c r="C83" s="5" t="s">
        <v>4342</v>
      </c>
      <c r="D83" s="138"/>
    </row>
    <row r="84" spans="2:7" ht="13.9" customHeight="1" x14ac:dyDescent="0.2">
      <c r="B84" s="1210"/>
      <c r="C84" s="5" t="s">
        <v>3867</v>
      </c>
      <c r="D84" s="163"/>
    </row>
    <row r="85" spans="2:7" x14ac:dyDescent="0.2">
      <c r="D85" s="414"/>
    </row>
    <row r="86" spans="2:7" ht="15.75" x14ac:dyDescent="0.25">
      <c r="B86" s="1211" t="s">
        <v>3091</v>
      </c>
      <c r="C86" s="5" t="s">
        <v>4317</v>
      </c>
      <c r="D86" s="163"/>
      <c r="F86" s="183" t="s">
        <v>3073</v>
      </c>
    </row>
    <row r="87" spans="2:7" x14ac:dyDescent="0.2">
      <c r="B87" s="1212"/>
      <c r="C87" s="5" t="s">
        <v>3061</v>
      </c>
      <c r="D87" s="163"/>
      <c r="F87" s="5" t="s">
        <v>3068</v>
      </c>
      <c r="G87" s="163"/>
    </row>
    <row r="88" spans="2:7" x14ac:dyDescent="0.2">
      <c r="B88" s="1212"/>
      <c r="C88" s="5" t="s">
        <v>3062</v>
      </c>
      <c r="D88" s="163"/>
      <c r="F88" s="5" t="s">
        <v>3069</v>
      </c>
      <c r="G88" s="163"/>
    </row>
    <row r="89" spans="2:7" x14ac:dyDescent="0.2">
      <c r="B89" s="1212"/>
      <c r="C89" s="5" t="s">
        <v>11</v>
      </c>
      <c r="D89" s="163"/>
      <c r="F89" s="5" t="s">
        <v>3070</v>
      </c>
      <c r="G89" s="163"/>
    </row>
    <row r="90" spans="2:7" x14ac:dyDescent="0.2">
      <c r="B90" s="1212"/>
      <c r="C90" s="5" t="s">
        <v>3063</v>
      </c>
      <c r="D90" s="163"/>
      <c r="F90" s="5" t="s">
        <v>3071</v>
      </c>
      <c r="G90" s="163"/>
    </row>
    <row r="91" spans="2:7" x14ac:dyDescent="0.2">
      <c r="B91" s="1212"/>
      <c r="C91" s="5" t="s">
        <v>10</v>
      </c>
      <c r="D91" s="157"/>
      <c r="F91" s="5" t="s">
        <v>3072</v>
      </c>
      <c r="G91" s="158"/>
    </row>
    <row r="92" spans="2:7" x14ac:dyDescent="0.2">
      <c r="B92" s="1212"/>
      <c r="C92" s="5" t="s">
        <v>4313</v>
      </c>
      <c r="D92" s="137"/>
      <c r="F92" s="5" t="s">
        <v>3074</v>
      </c>
      <c r="G92" s="163"/>
    </row>
    <row r="93" spans="2:7" x14ac:dyDescent="0.2">
      <c r="B93" s="1212"/>
      <c r="C93" s="5" t="s">
        <v>3065</v>
      </c>
      <c r="D93" s="137"/>
      <c r="F93" s="5" t="s">
        <v>3075</v>
      </c>
      <c r="G93" s="163"/>
    </row>
    <row r="94" spans="2:7" x14ac:dyDescent="0.2">
      <c r="B94" s="1212"/>
      <c r="C94" s="53" t="s">
        <v>4311</v>
      </c>
      <c r="D94" s="163"/>
      <c r="G94" s="5"/>
    </row>
    <row r="95" spans="2:7" x14ac:dyDescent="0.2">
      <c r="B95" s="1212"/>
      <c r="C95" s="5" t="s">
        <v>3066</v>
      </c>
      <c r="D95" s="365"/>
      <c r="G95" s="5"/>
    </row>
    <row r="96" spans="2:7" x14ac:dyDescent="0.2">
      <c r="B96" s="1212"/>
      <c r="C96" s="5" t="s">
        <v>4343</v>
      </c>
      <c r="D96" s="138"/>
    </row>
    <row r="97" spans="1:7" x14ac:dyDescent="0.2">
      <c r="B97" s="1213"/>
      <c r="C97" s="5" t="s">
        <v>3867</v>
      </c>
      <c r="D97" s="163"/>
    </row>
    <row r="98" spans="1:7" x14ac:dyDescent="0.2">
      <c r="D98" s="414"/>
    </row>
    <row r="99" spans="1:7" ht="15.75" x14ac:dyDescent="0.25">
      <c r="B99" s="1211" t="s">
        <v>3090</v>
      </c>
      <c r="C99" s="5" t="s">
        <v>4318</v>
      </c>
      <c r="D99" s="163"/>
      <c r="F99" s="183" t="s">
        <v>3073</v>
      </c>
    </row>
    <row r="100" spans="1:7" x14ac:dyDescent="0.2">
      <c r="B100" s="1212"/>
      <c r="C100" s="5" t="s">
        <v>3061</v>
      </c>
      <c r="D100" s="163"/>
      <c r="F100" s="5" t="s">
        <v>3068</v>
      </c>
      <c r="G100" s="163"/>
    </row>
    <row r="101" spans="1:7" x14ac:dyDescent="0.2">
      <c r="B101" s="1212"/>
      <c r="C101" s="5" t="s">
        <v>3062</v>
      </c>
      <c r="D101" s="163"/>
      <c r="F101" s="5" t="s">
        <v>3069</v>
      </c>
      <c r="G101" s="163"/>
    </row>
    <row r="102" spans="1:7" x14ac:dyDescent="0.2">
      <c r="B102" s="1212"/>
      <c r="C102" s="5" t="s">
        <v>11</v>
      </c>
      <c r="D102" s="163"/>
      <c r="F102" s="5" t="s">
        <v>3070</v>
      </c>
      <c r="G102" s="163"/>
    </row>
    <row r="103" spans="1:7" x14ac:dyDescent="0.2">
      <c r="B103" s="1212"/>
      <c r="C103" s="5" t="s">
        <v>3063</v>
      </c>
      <c r="D103" s="163"/>
      <c r="F103" s="5" t="s">
        <v>3071</v>
      </c>
      <c r="G103" s="163"/>
    </row>
    <row r="104" spans="1:7" x14ac:dyDescent="0.2">
      <c r="B104" s="1212"/>
      <c r="C104" s="5" t="s">
        <v>10</v>
      </c>
      <c r="D104" s="157"/>
      <c r="F104" s="5" t="s">
        <v>3072</v>
      </c>
      <c r="G104" s="158"/>
    </row>
    <row r="105" spans="1:7" x14ac:dyDescent="0.2">
      <c r="B105" s="1212"/>
      <c r="C105" s="5" t="s">
        <v>4313</v>
      </c>
      <c r="D105" s="137"/>
      <c r="F105" s="5" t="s">
        <v>3074</v>
      </c>
      <c r="G105" s="163"/>
    </row>
    <row r="106" spans="1:7" x14ac:dyDescent="0.2">
      <c r="B106" s="1212"/>
      <c r="C106" s="5" t="s">
        <v>3065</v>
      </c>
      <c r="D106" s="137"/>
      <c r="F106" s="5" t="s">
        <v>3075</v>
      </c>
      <c r="G106" s="163"/>
    </row>
    <row r="107" spans="1:7" x14ac:dyDescent="0.2">
      <c r="B107" s="1212"/>
      <c r="C107" s="53" t="s">
        <v>4311</v>
      </c>
      <c r="D107" s="163"/>
      <c r="G107" s="5"/>
    </row>
    <row r="108" spans="1:7" x14ac:dyDescent="0.2">
      <c r="B108" s="1212"/>
      <c r="C108" s="5" t="s">
        <v>3066</v>
      </c>
      <c r="D108" s="365"/>
      <c r="G108" s="5"/>
    </row>
    <row r="109" spans="1:7" x14ac:dyDescent="0.2">
      <c r="B109" s="1212"/>
      <c r="C109" s="5" t="s">
        <v>4344</v>
      </c>
      <c r="D109" s="138"/>
    </row>
    <row r="110" spans="1:7" x14ac:dyDescent="0.2">
      <c r="B110" s="1213"/>
      <c r="C110" s="5" t="s">
        <v>3867</v>
      </c>
      <c r="D110" s="163"/>
    </row>
    <row r="112" spans="1:7" ht="18" x14ac:dyDescent="0.25">
      <c r="A112" s="6" t="s">
        <v>4644</v>
      </c>
    </row>
    <row r="113" spans="3:7" ht="15.75" x14ac:dyDescent="0.25">
      <c r="C113" s="5" t="s">
        <v>3086</v>
      </c>
      <c r="D113" s="163"/>
      <c r="F113" s="183" t="s">
        <v>3073</v>
      </c>
    </row>
    <row r="114" spans="3:7" x14ac:dyDescent="0.2">
      <c r="C114" s="5" t="s">
        <v>3061</v>
      </c>
      <c r="D114" s="163"/>
      <c r="F114" s="5" t="s">
        <v>3068</v>
      </c>
      <c r="G114" s="163"/>
    </row>
    <row r="115" spans="3:7" x14ac:dyDescent="0.2">
      <c r="C115" s="5" t="s">
        <v>3062</v>
      </c>
      <c r="D115" s="163"/>
      <c r="F115" s="5" t="s">
        <v>3069</v>
      </c>
      <c r="G115" s="163"/>
    </row>
    <row r="116" spans="3:7" x14ac:dyDescent="0.2">
      <c r="C116" s="5" t="s">
        <v>11</v>
      </c>
      <c r="D116" s="163"/>
      <c r="F116" s="5" t="s">
        <v>3070</v>
      </c>
      <c r="G116" s="163"/>
    </row>
    <row r="117" spans="3:7" x14ac:dyDescent="0.2">
      <c r="C117" s="5" t="s">
        <v>3063</v>
      </c>
      <c r="D117" s="163"/>
      <c r="F117" s="5" t="s">
        <v>3072</v>
      </c>
      <c r="G117" s="158"/>
    </row>
    <row r="118" spans="3:7" x14ac:dyDescent="0.2">
      <c r="C118" s="5" t="s">
        <v>10</v>
      </c>
      <c r="D118" s="157"/>
      <c r="F118" s="5" t="s">
        <v>3074</v>
      </c>
      <c r="G118" s="163"/>
    </row>
    <row r="119" spans="3:7" x14ac:dyDescent="0.2">
      <c r="C119" s="5" t="s">
        <v>3066</v>
      </c>
      <c r="D119" s="365"/>
    </row>
    <row r="120" spans="3:7" x14ac:dyDescent="0.2">
      <c r="C120" s="5" t="s">
        <v>3075</v>
      </c>
      <c r="D120" s="163"/>
    </row>
    <row r="122" spans="3:7" x14ac:dyDescent="0.2">
      <c r="C122" s="5" t="s">
        <v>3078</v>
      </c>
      <c r="D122" s="137"/>
    </row>
    <row r="123" spans="3:7" x14ac:dyDescent="0.2">
      <c r="C123" s="5" t="s">
        <v>3079</v>
      </c>
      <c r="D123" s="137"/>
    </row>
    <row r="124" spans="3:7" x14ac:dyDescent="0.2">
      <c r="C124" s="5" t="s">
        <v>3081</v>
      </c>
      <c r="D124" s="137"/>
    </row>
    <row r="125" spans="3:7" ht="15" x14ac:dyDescent="0.25">
      <c r="C125" s="5" t="s">
        <v>3082</v>
      </c>
      <c r="D125" s="137"/>
    </row>
    <row r="126" spans="3:7" x14ac:dyDescent="0.2">
      <c r="C126" s="5" t="s">
        <v>4041</v>
      </c>
      <c r="D126" s="163"/>
    </row>
    <row r="128" spans="3:7" x14ac:dyDescent="0.2">
      <c r="C128" s="5" t="s">
        <v>4398</v>
      </c>
      <c r="G128" s="137"/>
    </row>
    <row r="129" spans="2:8" x14ac:dyDescent="0.2">
      <c r="C129" s="5" t="s">
        <v>4397</v>
      </c>
      <c r="G129" s="163"/>
    </row>
    <row r="130" spans="2:8" x14ac:dyDescent="0.2">
      <c r="C130" s="5" t="s">
        <v>3084</v>
      </c>
      <c r="G130" s="137"/>
    </row>
    <row r="131" spans="2:8" x14ac:dyDescent="0.2">
      <c r="C131" s="5" t="s">
        <v>4091</v>
      </c>
      <c r="G131" s="137"/>
    </row>
    <row r="133" spans="2:8" ht="15.75" x14ac:dyDescent="0.25">
      <c r="B133" s="184"/>
      <c r="C133" s="184" t="s">
        <v>3087</v>
      </c>
      <c r="D133" s="163"/>
      <c r="E133" s="184"/>
      <c r="F133" s="185" t="s">
        <v>3073</v>
      </c>
      <c r="G133" s="186"/>
      <c r="H133" s="184"/>
    </row>
    <row r="134" spans="2:8" x14ac:dyDescent="0.2">
      <c r="B134" s="184"/>
      <c r="C134" s="184" t="s">
        <v>3061</v>
      </c>
      <c r="D134" s="163"/>
      <c r="E134" s="184"/>
      <c r="F134" s="184" t="s">
        <v>3068</v>
      </c>
      <c r="G134" s="163"/>
      <c r="H134" s="184"/>
    </row>
    <row r="135" spans="2:8" x14ac:dyDescent="0.2">
      <c r="B135" s="184"/>
      <c r="C135" s="184" t="s">
        <v>3062</v>
      </c>
      <c r="D135" s="163"/>
      <c r="E135" s="184"/>
      <c r="F135" s="184" t="s">
        <v>3069</v>
      </c>
      <c r="G135" s="163"/>
      <c r="H135" s="184"/>
    </row>
    <row r="136" spans="2:8" x14ac:dyDescent="0.2">
      <c r="B136" s="184"/>
      <c r="C136" s="184" t="s">
        <v>11</v>
      </c>
      <c r="D136" s="163"/>
      <c r="E136" s="184"/>
      <c r="F136" s="184" t="s">
        <v>3070</v>
      </c>
      <c r="G136" s="163"/>
      <c r="H136" s="184"/>
    </row>
    <row r="137" spans="2:8" x14ac:dyDescent="0.2">
      <c r="B137" s="184"/>
      <c r="C137" s="184" t="s">
        <v>3063</v>
      </c>
      <c r="D137" s="163"/>
      <c r="E137" s="184"/>
      <c r="F137" s="184" t="s">
        <v>3072</v>
      </c>
      <c r="G137" s="158"/>
      <c r="H137" s="184"/>
    </row>
    <row r="138" spans="2:8" x14ac:dyDescent="0.2">
      <c r="B138" s="184"/>
      <c r="C138" s="184" t="s">
        <v>10</v>
      </c>
      <c r="D138" s="157"/>
      <c r="E138" s="184"/>
      <c r="F138" s="184" t="s">
        <v>3074</v>
      </c>
      <c r="G138" s="163"/>
      <c r="H138" s="184"/>
    </row>
    <row r="139" spans="2:8" x14ac:dyDescent="0.2">
      <c r="B139" s="184"/>
      <c r="C139" s="184" t="s">
        <v>3075</v>
      </c>
      <c r="D139" s="163"/>
      <c r="E139" s="184"/>
      <c r="F139" s="184"/>
      <c r="G139" s="184"/>
      <c r="H139" s="184"/>
    </row>
    <row r="140" spans="2:8" x14ac:dyDescent="0.2">
      <c r="B140" s="184"/>
      <c r="C140" s="184"/>
      <c r="D140" s="186"/>
      <c r="E140" s="184"/>
      <c r="F140" s="184"/>
      <c r="G140" s="186"/>
      <c r="H140" s="184"/>
    </row>
    <row r="141" spans="2:8" x14ac:dyDescent="0.2">
      <c r="B141" s="184"/>
      <c r="C141" s="184" t="s">
        <v>3078</v>
      </c>
      <c r="D141" s="137"/>
      <c r="E141" s="184"/>
      <c r="F141" s="184"/>
      <c r="G141" s="186"/>
      <c r="H141" s="184"/>
    </row>
    <row r="142" spans="2:8" x14ac:dyDescent="0.2">
      <c r="B142" s="184"/>
      <c r="C142" s="184" t="s">
        <v>3079</v>
      </c>
      <c r="D142" s="137"/>
      <c r="E142" s="184"/>
      <c r="F142" s="184"/>
      <c r="G142" s="186"/>
      <c r="H142" s="184"/>
    </row>
    <row r="143" spans="2:8" x14ac:dyDescent="0.2">
      <c r="B143" s="184"/>
      <c r="C143" s="184" t="s">
        <v>3081</v>
      </c>
      <c r="D143" s="137"/>
      <c r="E143" s="184"/>
      <c r="F143" s="184"/>
      <c r="G143" s="186"/>
      <c r="H143" s="184"/>
    </row>
    <row r="144" spans="2:8" ht="15" x14ac:dyDescent="0.25">
      <c r="B144" s="184"/>
      <c r="C144" s="184" t="s">
        <v>3082</v>
      </c>
      <c r="D144" s="137"/>
      <c r="E144" s="184"/>
      <c r="F144" s="184"/>
      <c r="G144" s="186"/>
      <c r="H144" s="184"/>
    </row>
    <row r="145" spans="1:8" x14ac:dyDescent="0.2">
      <c r="B145" s="184"/>
      <c r="C145" s="184" t="s">
        <v>3080</v>
      </c>
      <c r="D145" s="163"/>
      <c r="E145" s="184"/>
      <c r="F145" s="184"/>
      <c r="G145" s="186"/>
      <c r="H145" s="184"/>
    </row>
    <row r="146" spans="1:8" x14ac:dyDescent="0.2">
      <c r="B146" s="184"/>
      <c r="C146" s="184"/>
      <c r="D146" s="186"/>
      <c r="E146" s="184"/>
      <c r="F146" s="184"/>
      <c r="G146" s="186"/>
      <c r="H146" s="184"/>
    </row>
    <row r="147" spans="1:8" x14ac:dyDescent="0.2">
      <c r="B147" s="184"/>
      <c r="C147" s="184" t="s">
        <v>4398</v>
      </c>
      <c r="D147" s="186"/>
      <c r="E147" s="184"/>
      <c r="F147" s="184"/>
      <c r="G147" s="137"/>
      <c r="H147" s="184"/>
    </row>
    <row r="148" spans="1:8" x14ac:dyDescent="0.2">
      <c r="B148" s="184"/>
      <c r="C148" s="184" t="s">
        <v>3083</v>
      </c>
      <c r="D148" s="186"/>
      <c r="E148" s="184"/>
      <c r="F148" s="184"/>
      <c r="G148" s="163"/>
      <c r="H148" s="184"/>
    </row>
    <row r="149" spans="1:8" x14ac:dyDescent="0.2">
      <c r="B149" s="184"/>
      <c r="C149" s="184" t="s">
        <v>4399</v>
      </c>
      <c r="D149" s="186"/>
      <c r="E149" s="184"/>
      <c r="F149" s="184"/>
      <c r="G149" s="163"/>
      <c r="H149" s="184"/>
    </row>
    <row r="150" spans="1:8" x14ac:dyDescent="0.2">
      <c r="B150" s="184"/>
      <c r="C150" s="184" t="s">
        <v>3084</v>
      </c>
      <c r="D150" s="186"/>
      <c r="E150" s="184"/>
      <c r="F150" s="184"/>
      <c r="G150" s="137"/>
      <c r="H150" s="184"/>
    </row>
    <row r="151" spans="1:8" x14ac:dyDescent="0.2">
      <c r="B151" s="184"/>
      <c r="C151" s="184" t="s">
        <v>3085</v>
      </c>
      <c r="D151" s="186"/>
      <c r="E151" s="184"/>
      <c r="F151" s="184"/>
      <c r="G151" s="137"/>
      <c r="H151" s="184"/>
    </row>
    <row r="153" spans="1:8" ht="18" x14ac:dyDescent="0.25">
      <c r="A153" s="6" t="s">
        <v>4643</v>
      </c>
    </row>
    <row r="154" spans="1:8" ht="15.75" x14ac:dyDescent="0.25">
      <c r="C154" s="5" t="s">
        <v>4423</v>
      </c>
      <c r="D154" s="163"/>
      <c r="F154" s="183" t="s">
        <v>3073</v>
      </c>
    </row>
    <row r="155" spans="1:8" x14ac:dyDescent="0.2">
      <c r="C155" s="5" t="s">
        <v>3061</v>
      </c>
      <c r="D155" s="163"/>
      <c r="F155" s="5" t="s">
        <v>3068</v>
      </c>
      <c r="G155" s="163"/>
    </row>
    <row r="156" spans="1:8" x14ac:dyDescent="0.2">
      <c r="C156" s="5" t="s">
        <v>3062</v>
      </c>
      <c r="D156" s="163"/>
      <c r="F156" s="5" t="s">
        <v>3069</v>
      </c>
      <c r="G156" s="163"/>
    </row>
    <row r="157" spans="1:8" x14ac:dyDescent="0.2">
      <c r="C157" s="5" t="s">
        <v>11</v>
      </c>
      <c r="D157" s="163"/>
      <c r="F157" s="5" t="s">
        <v>3070</v>
      </c>
      <c r="G157" s="163"/>
    </row>
    <row r="158" spans="1:8" x14ac:dyDescent="0.2">
      <c r="C158" s="5" t="s">
        <v>3063</v>
      </c>
      <c r="D158" s="163"/>
      <c r="F158" s="5" t="s">
        <v>3072</v>
      </c>
      <c r="G158" s="158"/>
    </row>
    <row r="159" spans="1:8" x14ac:dyDescent="0.2">
      <c r="C159" s="5" t="s">
        <v>10</v>
      </c>
      <c r="D159" s="157"/>
      <c r="F159" s="5" t="s">
        <v>3074</v>
      </c>
      <c r="G159" s="163"/>
    </row>
    <row r="160" spans="1:8" x14ac:dyDescent="0.2">
      <c r="C160" s="5" t="s">
        <v>3066</v>
      </c>
      <c r="D160" s="365"/>
    </row>
    <row r="161" spans="1:10" x14ac:dyDescent="0.2">
      <c r="C161" s="5" t="s">
        <v>3075</v>
      </c>
      <c r="D161" s="163"/>
    </row>
    <row r="163" spans="1:10" ht="18" x14ac:dyDescent="0.25">
      <c r="A163" s="6" t="s">
        <v>4640</v>
      </c>
    </row>
    <row r="164" spans="1:10" ht="15.75" x14ac:dyDescent="0.25">
      <c r="C164" s="5" t="s">
        <v>3117</v>
      </c>
      <c r="D164" s="163"/>
      <c r="F164" s="183" t="s">
        <v>3073</v>
      </c>
    </row>
    <row r="165" spans="1:10" x14ac:dyDescent="0.2">
      <c r="C165" s="5" t="s">
        <v>3061</v>
      </c>
      <c r="D165" s="163"/>
      <c r="F165" s="5" t="s">
        <v>3068</v>
      </c>
      <c r="G165" s="163"/>
      <c r="I165" s="1214"/>
      <c r="J165" s="1214"/>
    </row>
    <row r="166" spans="1:10" x14ac:dyDescent="0.2">
      <c r="C166" s="5" t="s">
        <v>3062</v>
      </c>
      <c r="D166" s="163"/>
      <c r="F166" s="5" t="s">
        <v>3069</v>
      </c>
      <c r="G166" s="163"/>
      <c r="I166" s="1214"/>
      <c r="J166" s="1214"/>
    </row>
    <row r="167" spans="1:10" x14ac:dyDescent="0.2">
      <c r="C167" s="5" t="s">
        <v>11</v>
      </c>
      <c r="D167" s="163"/>
      <c r="F167" s="5" t="s">
        <v>3070</v>
      </c>
      <c r="G167" s="163"/>
      <c r="I167" s="1214"/>
      <c r="J167" s="1214"/>
    </row>
    <row r="168" spans="1:10" x14ac:dyDescent="0.2">
      <c r="C168" s="5" t="s">
        <v>3063</v>
      </c>
      <c r="D168" s="163"/>
      <c r="F168" s="5" t="s">
        <v>3072</v>
      </c>
      <c r="G168" s="158"/>
      <c r="I168" s="1214"/>
      <c r="J168" s="1214"/>
    </row>
    <row r="169" spans="1:10" x14ac:dyDescent="0.2">
      <c r="C169" s="5" t="s">
        <v>10</v>
      </c>
      <c r="D169" s="157"/>
      <c r="F169" s="5" t="s">
        <v>3074</v>
      </c>
      <c r="G169" s="163"/>
    </row>
    <row r="170" spans="1:10" x14ac:dyDescent="0.2">
      <c r="C170" s="5" t="s">
        <v>3066</v>
      </c>
      <c r="D170" s="365"/>
      <c r="F170" s="5" t="s">
        <v>4314</v>
      </c>
      <c r="G170" s="137"/>
    </row>
    <row r="171" spans="1:10" x14ac:dyDescent="0.2">
      <c r="C171" s="5" t="s">
        <v>3075</v>
      </c>
      <c r="D171" s="163"/>
    </row>
    <row r="173" spans="1:10" ht="18" x14ac:dyDescent="0.25">
      <c r="A173" s="6" t="s">
        <v>3888</v>
      </c>
    </row>
    <row r="174" spans="1:10" ht="15.75" x14ac:dyDescent="0.25">
      <c r="C174" s="5" t="s">
        <v>3139</v>
      </c>
      <c r="D174" s="163"/>
      <c r="F174" s="183" t="s">
        <v>3073</v>
      </c>
    </row>
    <row r="175" spans="1:10" x14ac:dyDescent="0.2">
      <c r="C175" s="5" t="s">
        <v>3061</v>
      </c>
      <c r="D175" s="163"/>
      <c r="F175" s="5" t="s">
        <v>3068</v>
      </c>
      <c r="G175" s="163"/>
    </row>
    <row r="176" spans="1:10" x14ac:dyDescent="0.2">
      <c r="C176" s="5" t="s">
        <v>3062</v>
      </c>
      <c r="D176" s="163"/>
      <c r="F176" s="5" t="s">
        <v>3069</v>
      </c>
      <c r="G176" s="163"/>
    </row>
    <row r="177" spans="1:9" x14ac:dyDescent="0.2">
      <c r="C177" s="5" t="s">
        <v>3063</v>
      </c>
      <c r="D177" s="163"/>
      <c r="F177" s="5" t="s">
        <v>3070</v>
      </c>
      <c r="G177" s="163"/>
    </row>
    <row r="178" spans="1:9" x14ac:dyDescent="0.2">
      <c r="C178" s="5" t="s">
        <v>10</v>
      </c>
      <c r="D178" s="157"/>
      <c r="F178" s="5" t="s">
        <v>3072</v>
      </c>
      <c r="G178" s="158"/>
    </row>
    <row r="179" spans="1:9" x14ac:dyDescent="0.2">
      <c r="C179" s="5" t="s">
        <v>3066</v>
      </c>
      <c r="D179" s="365"/>
      <c r="F179" s="5" t="s">
        <v>3074</v>
      </c>
      <c r="G179" s="163"/>
    </row>
    <row r="180" spans="1:9" x14ac:dyDescent="0.2">
      <c r="C180" s="5" t="s">
        <v>3075</v>
      </c>
      <c r="D180" s="163"/>
    </row>
    <row r="182" spans="1:9" ht="18" x14ac:dyDescent="0.25">
      <c r="A182" s="6" t="s">
        <v>4641</v>
      </c>
    </row>
    <row r="183" spans="1:9" x14ac:dyDescent="0.2">
      <c r="C183" s="5" t="s">
        <v>3580</v>
      </c>
      <c r="D183" s="163"/>
      <c r="F183" s="5" t="s">
        <v>3068</v>
      </c>
      <c r="G183" s="163"/>
    </row>
    <row r="184" spans="1:9" x14ac:dyDescent="0.2">
      <c r="C184" s="5" t="s">
        <v>3582</v>
      </c>
      <c r="D184" s="163"/>
      <c r="F184" s="5" t="s">
        <v>3069</v>
      </c>
      <c r="G184" s="163"/>
    </row>
    <row r="185" spans="1:9" x14ac:dyDescent="0.2">
      <c r="C185" s="5" t="s">
        <v>3581</v>
      </c>
      <c r="D185" s="169"/>
      <c r="F185" s="5" t="s">
        <v>3070</v>
      </c>
      <c r="G185" s="163"/>
    </row>
    <row r="186" spans="1:9" x14ac:dyDescent="0.2">
      <c r="C186" s="5" t="s">
        <v>4048</v>
      </c>
      <c r="D186" s="137"/>
      <c r="F186" s="5" t="s">
        <v>3072</v>
      </c>
      <c r="G186" s="158"/>
    </row>
    <row r="187" spans="1:9" x14ac:dyDescent="0.2">
      <c r="F187" s="5" t="s">
        <v>3074</v>
      </c>
      <c r="G187" s="163"/>
    </row>
    <row r="188" spans="1:9" ht="18" x14ac:dyDescent="0.25">
      <c r="A188" s="6" t="s">
        <v>4642</v>
      </c>
    </row>
    <row r="189" spans="1:9" ht="9" customHeight="1" x14ac:dyDescent="0.25">
      <c r="A189" s="6"/>
    </row>
    <row r="190" spans="1:9" ht="15" x14ac:dyDescent="0.25">
      <c r="C190" s="11" t="s">
        <v>3097</v>
      </c>
      <c r="D190" s="25" t="s">
        <v>3098</v>
      </c>
      <c r="E190" s="11" t="s">
        <v>3073</v>
      </c>
      <c r="F190" s="11"/>
      <c r="G190" s="25" t="s">
        <v>3099</v>
      </c>
      <c r="H190" s="1215" t="s">
        <v>3074</v>
      </c>
      <c r="I190" s="1215"/>
    </row>
    <row r="191" spans="1:9" x14ac:dyDescent="0.2">
      <c r="C191" s="188" t="s">
        <v>3100</v>
      </c>
      <c r="D191" s="166"/>
      <c r="E191" s="1123"/>
      <c r="F191" s="1124"/>
      <c r="G191" s="189"/>
      <c r="H191" s="1207"/>
      <c r="I191" s="1207"/>
    </row>
    <row r="192" spans="1:9" x14ac:dyDescent="0.2">
      <c r="C192" s="188" t="s">
        <v>3101</v>
      </c>
      <c r="D192" s="166"/>
      <c r="E192" s="1123"/>
      <c r="F192" s="1124"/>
      <c r="G192" s="189"/>
      <c r="H192" s="1207"/>
      <c r="I192" s="1207"/>
    </row>
    <row r="193" spans="3:9" x14ac:dyDescent="0.2">
      <c r="C193" s="188" t="s">
        <v>4332</v>
      </c>
      <c r="D193" s="166"/>
      <c r="E193" s="1123"/>
      <c r="F193" s="1124"/>
      <c r="G193" s="189"/>
      <c r="H193" s="1206"/>
      <c r="I193" s="1206"/>
    </row>
    <row r="194" spans="3:9" x14ac:dyDescent="0.2">
      <c r="C194" s="188" t="s">
        <v>3102</v>
      </c>
      <c r="D194" s="166"/>
      <c r="E194" s="1123"/>
      <c r="F194" s="1124"/>
      <c r="G194" s="189"/>
      <c r="H194" s="1207"/>
      <c r="I194" s="1207"/>
    </row>
    <row r="195" spans="3:9" x14ac:dyDescent="0.2">
      <c r="C195" s="188" t="s">
        <v>3103</v>
      </c>
      <c r="D195" s="166"/>
      <c r="E195" s="1123"/>
      <c r="F195" s="1124"/>
      <c r="G195" s="189"/>
      <c r="H195" s="1207"/>
      <c r="I195" s="1207"/>
    </row>
    <row r="196" spans="3:9" x14ac:dyDescent="0.2">
      <c r="C196" s="188" t="s">
        <v>3798</v>
      </c>
      <c r="D196" s="166"/>
      <c r="E196" s="1123"/>
      <c r="F196" s="1124"/>
      <c r="G196" s="189"/>
      <c r="H196" s="1207"/>
      <c r="I196" s="1207"/>
    </row>
    <row r="197" spans="3:9" x14ac:dyDescent="0.2">
      <c r="C197" s="188" t="s">
        <v>3799</v>
      </c>
      <c r="D197" s="166"/>
      <c r="E197" s="1123"/>
      <c r="F197" s="1124"/>
      <c r="G197" s="189"/>
      <c r="H197" s="1207"/>
      <c r="I197" s="1207"/>
    </row>
    <row r="198" spans="3:9" x14ac:dyDescent="0.2">
      <c r="C198" s="188" t="s">
        <v>3800</v>
      </c>
      <c r="D198" s="166"/>
      <c r="E198" s="1123"/>
      <c r="F198" s="1124"/>
      <c r="G198" s="189"/>
      <c r="H198" s="1207"/>
      <c r="I198" s="1207"/>
    </row>
    <row r="199" spans="3:9" x14ac:dyDescent="0.2">
      <c r="C199" s="188" t="s">
        <v>3801</v>
      </c>
      <c r="D199" s="166"/>
      <c r="E199" s="1123"/>
      <c r="F199" s="1124"/>
      <c r="G199" s="189"/>
      <c r="H199" s="1207"/>
      <c r="I199" s="1207"/>
    </row>
    <row r="200" spans="3:9" x14ac:dyDescent="0.2">
      <c r="C200" s="188" t="s">
        <v>3802</v>
      </c>
      <c r="D200" s="166"/>
      <c r="E200" s="1123"/>
      <c r="F200" s="1124"/>
      <c r="G200" s="189"/>
      <c r="H200" s="1207"/>
      <c r="I200" s="1207"/>
    </row>
    <row r="201" spans="3:9" x14ac:dyDescent="0.2">
      <c r="C201" s="188" t="s">
        <v>3803</v>
      </c>
      <c r="D201" s="166"/>
      <c r="E201" s="1123"/>
      <c r="F201" s="1124"/>
      <c r="G201" s="189"/>
      <c r="H201" s="1207"/>
      <c r="I201" s="1207"/>
    </row>
    <row r="202" spans="3:9" x14ac:dyDescent="0.2">
      <c r="C202" s="188" t="s">
        <v>3804</v>
      </c>
      <c r="D202" s="166"/>
      <c r="E202" s="1123"/>
      <c r="F202" s="1124"/>
      <c r="G202" s="189"/>
      <c r="H202" s="1207"/>
      <c r="I202" s="1207"/>
    </row>
    <row r="203" spans="3:9" x14ac:dyDescent="0.2">
      <c r="C203" s="188" t="s">
        <v>3805</v>
      </c>
      <c r="D203" s="166"/>
      <c r="E203" s="1123"/>
      <c r="F203" s="1124"/>
      <c r="G203" s="189"/>
      <c r="H203" s="1207"/>
      <c r="I203" s="1207"/>
    </row>
    <row r="204" spans="3:9" x14ac:dyDescent="0.2">
      <c r="C204" s="188" t="s">
        <v>3806</v>
      </c>
      <c r="D204" s="166"/>
      <c r="E204" s="1123"/>
      <c r="F204" s="1124"/>
      <c r="G204" s="189"/>
      <c r="H204" s="1206"/>
      <c r="I204" s="1206"/>
    </row>
    <row r="205" spans="3:9" x14ac:dyDescent="0.2">
      <c r="C205" s="188" t="s">
        <v>3807</v>
      </c>
      <c r="D205" s="166"/>
      <c r="E205" s="1123"/>
      <c r="F205" s="1124"/>
      <c r="G205" s="189"/>
      <c r="H205" s="1206"/>
      <c r="I205" s="1206"/>
    </row>
    <row r="206" spans="3:9" x14ac:dyDescent="0.2">
      <c r="C206" s="166"/>
      <c r="D206" s="166"/>
      <c r="E206" s="407"/>
      <c r="F206" s="165"/>
      <c r="G206" s="189"/>
      <c r="H206" s="1123"/>
      <c r="I206" s="1124"/>
    </row>
    <row r="207" spans="3:9" x14ac:dyDescent="0.2">
      <c r="C207" s="166"/>
      <c r="D207" s="166"/>
      <c r="E207" s="407"/>
      <c r="F207" s="165"/>
      <c r="G207" s="189"/>
      <c r="H207" s="1123"/>
      <c r="I207" s="1124"/>
    </row>
    <row r="208" spans="3:9" x14ac:dyDescent="0.2">
      <c r="C208" s="166"/>
      <c r="D208" s="166"/>
      <c r="E208" s="407"/>
      <c r="F208" s="165"/>
      <c r="G208" s="189"/>
      <c r="H208" s="1123"/>
      <c r="I208" s="1124"/>
    </row>
    <row r="209" spans="1:12" x14ac:dyDescent="0.2">
      <c r="C209" s="166"/>
      <c r="D209" s="166"/>
      <c r="E209" s="1123"/>
      <c r="F209" s="1124"/>
      <c r="G209" s="189"/>
      <c r="H209" s="1206"/>
      <c r="I209" s="1206"/>
    </row>
    <row r="210" spans="1:12" x14ac:dyDescent="0.2">
      <c r="D210" s="5"/>
      <c r="G210" s="5"/>
    </row>
    <row r="211" spans="1:12" ht="18" x14ac:dyDescent="0.25">
      <c r="A211" s="6" t="s">
        <v>3769</v>
      </c>
      <c r="D211" s="5"/>
      <c r="G211" s="5"/>
      <c r="J211" s="5"/>
    </row>
    <row r="212" spans="1:12" ht="30.75" customHeight="1" x14ac:dyDescent="0.2">
      <c r="A212" s="1083" t="s">
        <v>4400</v>
      </c>
      <c r="B212" s="1083"/>
      <c r="C212" s="1083"/>
      <c r="D212" s="1083"/>
      <c r="E212" s="1083"/>
      <c r="F212" s="1083"/>
      <c r="G212" s="1083"/>
      <c r="H212" s="1083"/>
      <c r="I212" s="1083"/>
      <c r="J212" s="1083"/>
      <c r="K212" s="1083"/>
      <c r="L212" s="26"/>
    </row>
    <row r="213" spans="1:12" x14ac:dyDescent="0.2">
      <c r="D213" s="5"/>
      <c r="G213" s="5"/>
      <c r="J213" s="5"/>
    </row>
    <row r="214" spans="1:12" ht="45" x14ac:dyDescent="0.25">
      <c r="C214" s="11"/>
      <c r="D214" s="57" t="s">
        <v>3089</v>
      </c>
      <c r="E214" s="57" t="s">
        <v>4066</v>
      </c>
      <c r="F214" s="57" t="s">
        <v>4067</v>
      </c>
      <c r="G214" s="57" t="s">
        <v>3756</v>
      </c>
      <c r="H214" s="57" t="s">
        <v>3784</v>
      </c>
      <c r="I214" s="57" t="s">
        <v>3105</v>
      </c>
      <c r="J214" s="5"/>
    </row>
    <row r="215" spans="1:12" ht="15" x14ac:dyDescent="0.25">
      <c r="C215" s="11" t="s">
        <v>3770</v>
      </c>
      <c r="D215" s="141"/>
      <c r="E215" s="141"/>
      <c r="F215" s="141"/>
      <c r="G215" s="141"/>
      <c r="H215" s="141"/>
      <c r="I215" s="29">
        <f t="shared" ref="I215:I229" si="0">SUM(D215:H215)</f>
        <v>0</v>
      </c>
      <c r="J215" s="5"/>
    </row>
    <row r="216" spans="1:12" ht="15" x14ac:dyDescent="0.25">
      <c r="C216" s="11" t="s">
        <v>3771</v>
      </c>
      <c r="D216" s="141"/>
      <c r="E216" s="141"/>
      <c r="F216" s="141"/>
      <c r="G216" s="141"/>
      <c r="H216" s="141"/>
      <c r="I216" s="29">
        <f t="shared" si="0"/>
        <v>0</v>
      </c>
      <c r="J216" s="5"/>
    </row>
    <row r="217" spans="1:12" ht="15" x14ac:dyDescent="0.25">
      <c r="C217" s="11" t="s">
        <v>3342</v>
      </c>
      <c r="D217" s="141"/>
      <c r="E217" s="141"/>
      <c r="F217" s="141"/>
      <c r="G217" s="141"/>
      <c r="H217" s="141"/>
      <c r="I217" s="29">
        <f t="shared" si="0"/>
        <v>0</v>
      </c>
      <c r="J217" s="5"/>
    </row>
    <row r="218" spans="1:12" ht="15" x14ac:dyDescent="0.25">
      <c r="C218" s="11" t="s">
        <v>3772</v>
      </c>
      <c r="D218" s="141"/>
      <c r="E218" s="141"/>
      <c r="F218" s="141"/>
      <c r="G218" s="141"/>
      <c r="H218" s="141"/>
      <c r="I218" s="29">
        <f t="shared" si="0"/>
        <v>0</v>
      </c>
      <c r="J218" s="5"/>
    </row>
    <row r="219" spans="1:12" ht="15" x14ac:dyDescent="0.25">
      <c r="C219" s="11" t="s">
        <v>3773</v>
      </c>
      <c r="D219" s="141"/>
      <c r="E219" s="141"/>
      <c r="F219" s="141"/>
      <c r="G219" s="141"/>
      <c r="H219" s="141"/>
      <c r="I219" s="29">
        <f t="shared" si="0"/>
        <v>0</v>
      </c>
      <c r="J219" s="5"/>
    </row>
    <row r="220" spans="1:12" ht="15" x14ac:dyDescent="0.25">
      <c r="C220" s="11" t="s">
        <v>3774</v>
      </c>
      <c r="D220" s="141"/>
      <c r="E220" s="141"/>
      <c r="F220" s="141"/>
      <c r="G220" s="141"/>
      <c r="H220" s="141"/>
      <c r="I220" s="29">
        <f t="shared" si="0"/>
        <v>0</v>
      </c>
      <c r="J220" s="5"/>
    </row>
    <row r="221" spans="1:12" ht="15" x14ac:dyDescent="0.25">
      <c r="C221" s="11" t="s">
        <v>3775</v>
      </c>
      <c r="D221" s="141"/>
      <c r="E221" s="141"/>
      <c r="F221" s="141"/>
      <c r="G221" s="141"/>
      <c r="H221" s="141"/>
      <c r="I221" s="29">
        <f t="shared" si="0"/>
        <v>0</v>
      </c>
      <c r="J221" s="5"/>
    </row>
    <row r="222" spans="1:12" ht="15" x14ac:dyDescent="0.25">
      <c r="C222" s="11" t="s">
        <v>3776</v>
      </c>
      <c r="D222" s="141"/>
      <c r="E222" s="141"/>
      <c r="F222" s="141"/>
      <c r="G222" s="141"/>
      <c r="H222" s="141"/>
      <c r="I222" s="29">
        <f t="shared" si="0"/>
        <v>0</v>
      </c>
      <c r="J222" s="5"/>
    </row>
    <row r="223" spans="1:12" ht="15" x14ac:dyDescent="0.25">
      <c r="C223" s="11" t="s">
        <v>3777</v>
      </c>
      <c r="D223" s="141"/>
      <c r="E223" s="141"/>
      <c r="F223" s="141"/>
      <c r="G223" s="141"/>
      <c r="H223" s="141"/>
      <c r="I223" s="29">
        <f t="shared" si="0"/>
        <v>0</v>
      </c>
      <c r="J223" s="5"/>
    </row>
    <row r="224" spans="1:12" ht="15" x14ac:dyDescent="0.25">
      <c r="C224" s="11" t="s">
        <v>3778</v>
      </c>
      <c r="D224" s="141"/>
      <c r="E224" s="141"/>
      <c r="F224" s="141"/>
      <c r="G224" s="141"/>
      <c r="H224" s="141"/>
      <c r="I224" s="29">
        <f t="shared" si="0"/>
        <v>0</v>
      </c>
      <c r="J224" s="5"/>
    </row>
    <row r="225" spans="1:11" ht="15" x14ac:dyDescent="0.25">
      <c r="C225" s="11" t="s">
        <v>3779</v>
      </c>
      <c r="D225" s="141"/>
      <c r="E225" s="141"/>
      <c r="F225" s="141"/>
      <c r="G225" s="141"/>
      <c r="H225" s="141"/>
      <c r="I225" s="29">
        <f t="shared" si="0"/>
        <v>0</v>
      </c>
      <c r="J225" s="5"/>
    </row>
    <row r="226" spans="1:11" ht="15" x14ac:dyDescent="0.25">
      <c r="C226" s="11" t="s">
        <v>3780</v>
      </c>
      <c r="D226" s="141"/>
      <c r="E226" s="141"/>
      <c r="F226" s="141"/>
      <c r="G226" s="141"/>
      <c r="H226" s="141"/>
      <c r="I226" s="29">
        <f t="shared" si="0"/>
        <v>0</v>
      </c>
      <c r="J226" s="5"/>
    </row>
    <row r="227" spans="1:11" ht="15" x14ac:dyDescent="0.25">
      <c r="C227" s="11" t="s">
        <v>3781</v>
      </c>
      <c r="D227" s="141"/>
      <c r="E227" s="141"/>
      <c r="F227" s="141"/>
      <c r="G227" s="141"/>
      <c r="H227" s="141"/>
      <c r="I227" s="29">
        <f t="shared" si="0"/>
        <v>0</v>
      </c>
      <c r="J227" s="5"/>
    </row>
    <row r="228" spans="1:11" ht="15" x14ac:dyDescent="0.25">
      <c r="C228" s="11" t="s">
        <v>3782</v>
      </c>
      <c r="D228" s="141"/>
      <c r="E228" s="141"/>
      <c r="F228" s="141"/>
      <c r="G228" s="141"/>
      <c r="H228" s="141"/>
      <c r="I228" s="29">
        <f t="shared" si="0"/>
        <v>0</v>
      </c>
      <c r="J228" s="5"/>
    </row>
    <row r="229" spans="1:11" ht="15" x14ac:dyDescent="0.25">
      <c r="C229" s="11" t="s">
        <v>3783</v>
      </c>
      <c r="D229" s="141"/>
      <c r="E229" s="141"/>
      <c r="F229" s="141"/>
      <c r="G229" s="141"/>
      <c r="H229" s="141"/>
      <c r="I229" s="29">
        <f t="shared" si="0"/>
        <v>0</v>
      </c>
      <c r="J229" s="5"/>
    </row>
    <row r="230" spans="1:11" x14ac:dyDescent="0.2">
      <c r="D230" s="5"/>
      <c r="G230" s="5"/>
      <c r="J230" s="5"/>
    </row>
    <row r="231" spans="1:11" ht="18" x14ac:dyDescent="0.25">
      <c r="A231" s="6" t="s">
        <v>3785</v>
      </c>
      <c r="D231" s="5"/>
      <c r="G231" s="5"/>
      <c r="J231" s="5"/>
    </row>
    <row r="232" spans="1:11" x14ac:dyDescent="0.2">
      <c r="D232" s="5"/>
      <c r="G232" s="5"/>
      <c r="J232" s="5"/>
    </row>
    <row r="233" spans="1:11" ht="31.5" customHeight="1" x14ac:dyDescent="0.2">
      <c r="B233" s="1204" t="s">
        <v>5009</v>
      </c>
      <c r="C233" s="1204"/>
      <c r="D233" s="1204"/>
      <c r="E233" s="1204"/>
      <c r="F233" s="1204"/>
      <c r="G233" s="1204"/>
      <c r="H233" s="1204"/>
      <c r="I233" s="1204"/>
      <c r="J233" s="1204"/>
      <c r="K233" s="1204"/>
    </row>
    <row r="234" spans="1:11" ht="50.1" customHeight="1" x14ac:dyDescent="0.2">
      <c r="B234" s="1205"/>
      <c r="C234" s="1205"/>
      <c r="D234" s="1205"/>
      <c r="E234" s="1205"/>
      <c r="F234" s="1205"/>
      <c r="G234" s="1205"/>
      <c r="H234" s="1205"/>
      <c r="I234" s="1205"/>
      <c r="J234" s="1205"/>
      <c r="K234" s="1205"/>
    </row>
    <row r="235" spans="1:11" x14ac:dyDescent="0.2">
      <c r="D235" s="5"/>
      <c r="G235" s="5"/>
      <c r="J235" s="5"/>
    </row>
    <row r="236" spans="1:11" ht="30.75" customHeight="1" x14ac:dyDescent="0.2">
      <c r="B236" s="1204" t="s">
        <v>5010</v>
      </c>
      <c r="C236" s="1204"/>
      <c r="D236" s="1204"/>
      <c r="E236" s="1204"/>
      <c r="F236" s="1204"/>
      <c r="G236" s="1204"/>
      <c r="H236" s="1204"/>
      <c r="I236" s="1204"/>
      <c r="J236" s="1204"/>
      <c r="K236" s="1204"/>
    </row>
    <row r="237" spans="1:11" ht="50.1" customHeight="1" x14ac:dyDescent="0.2">
      <c r="B237" s="1205"/>
      <c r="C237" s="1205"/>
      <c r="D237" s="1205"/>
      <c r="E237" s="1205"/>
      <c r="F237" s="1205"/>
      <c r="G237" s="1205"/>
      <c r="H237" s="1205"/>
      <c r="I237" s="1205"/>
      <c r="J237" s="1205"/>
      <c r="K237" s="1205"/>
    </row>
    <row r="238" spans="1:11" x14ac:dyDescent="0.2">
      <c r="D238" s="5"/>
      <c r="G238" s="5"/>
      <c r="J238" s="5"/>
    </row>
    <row r="239" spans="1:11" ht="30.75" customHeight="1" x14ac:dyDescent="0.2">
      <c r="B239" s="1204" t="s">
        <v>5011</v>
      </c>
      <c r="C239" s="1204"/>
      <c r="D239" s="1204"/>
      <c r="E239" s="1204"/>
      <c r="F239" s="1204"/>
      <c r="G239" s="1204"/>
      <c r="H239" s="1204"/>
      <c r="I239" s="1204"/>
      <c r="J239" s="1204"/>
      <c r="K239" s="1204"/>
    </row>
    <row r="240" spans="1:11" ht="50.1" customHeight="1" x14ac:dyDescent="0.2">
      <c r="B240" s="1205"/>
      <c r="C240" s="1205"/>
      <c r="D240" s="1205"/>
      <c r="E240" s="1205"/>
      <c r="F240" s="1205"/>
      <c r="G240" s="1205"/>
      <c r="H240" s="1205"/>
      <c r="I240" s="1205"/>
      <c r="J240" s="1205"/>
      <c r="K240" s="1205"/>
    </row>
    <row r="241" spans="2:11" x14ac:dyDescent="0.2">
      <c r="D241" s="5"/>
      <c r="G241" s="5"/>
      <c r="J241" s="5"/>
    </row>
    <row r="242" spans="2:11" ht="15.75" customHeight="1" x14ac:dyDescent="0.2">
      <c r="B242" s="1204" t="s">
        <v>5012</v>
      </c>
      <c r="C242" s="1204"/>
      <c r="D242" s="1204"/>
      <c r="E242" s="1204"/>
      <c r="F242" s="1204"/>
      <c r="G242" s="1204"/>
      <c r="H242" s="1204"/>
      <c r="I242" s="1204"/>
      <c r="J242" s="1204"/>
      <c r="K242" s="1204"/>
    </row>
    <row r="243" spans="2:11" ht="50.1" customHeight="1" x14ac:dyDescent="0.2">
      <c r="B243" s="1205"/>
      <c r="C243" s="1205"/>
      <c r="D243" s="1205"/>
      <c r="E243" s="1205"/>
      <c r="F243" s="1205"/>
      <c r="G243" s="1205"/>
      <c r="H243" s="1205"/>
      <c r="I243" s="1205"/>
      <c r="J243" s="1205"/>
      <c r="K243" s="1205"/>
    </row>
    <row r="244" spans="2:11" x14ac:dyDescent="0.2">
      <c r="D244" s="5"/>
      <c r="G244" s="5"/>
      <c r="J244" s="5"/>
    </row>
    <row r="245" spans="2:11" ht="15.75" customHeight="1" x14ac:dyDescent="0.2">
      <c r="B245" s="1204" t="s">
        <v>5013</v>
      </c>
      <c r="C245" s="1204"/>
      <c r="D245" s="1204"/>
      <c r="E245" s="1204"/>
      <c r="F245" s="1204"/>
      <c r="G245" s="1204"/>
      <c r="H245" s="1204"/>
      <c r="I245" s="1204"/>
      <c r="J245" s="1204"/>
      <c r="K245" s="1204"/>
    </row>
    <row r="246" spans="2:11" ht="50.1" customHeight="1" x14ac:dyDescent="0.2">
      <c r="B246" s="1205"/>
      <c r="C246" s="1205"/>
      <c r="D246" s="1205"/>
      <c r="E246" s="1205"/>
      <c r="F246" s="1205"/>
      <c r="G246" s="1205"/>
      <c r="H246" s="1205"/>
      <c r="I246" s="1205"/>
      <c r="J246" s="1205"/>
      <c r="K246" s="1205"/>
    </row>
    <row r="247" spans="2:11" x14ac:dyDescent="0.2">
      <c r="D247" s="5"/>
      <c r="G247" s="5"/>
      <c r="J247" s="5"/>
    </row>
    <row r="248" spans="2:11" ht="15.75" customHeight="1" x14ac:dyDescent="0.2">
      <c r="B248" s="1204" t="s">
        <v>5014</v>
      </c>
      <c r="C248" s="1204"/>
      <c r="D248" s="1204"/>
      <c r="E248" s="1204"/>
      <c r="F248" s="1204"/>
      <c r="G248" s="1204"/>
      <c r="H248" s="1204"/>
      <c r="I248" s="1204"/>
      <c r="J248" s="1204"/>
      <c r="K248" s="1204"/>
    </row>
    <row r="249" spans="2:11" ht="50.1" customHeight="1" x14ac:dyDescent="0.2">
      <c r="B249" s="1205"/>
      <c r="C249" s="1205"/>
      <c r="D249" s="1205"/>
      <c r="E249" s="1205"/>
      <c r="F249" s="1205"/>
      <c r="G249" s="1205"/>
      <c r="H249" s="1205"/>
      <c r="I249" s="1205"/>
      <c r="J249" s="1205"/>
      <c r="K249" s="1205"/>
    </row>
    <row r="250" spans="2:11" x14ac:dyDescent="0.2">
      <c r="D250" s="5"/>
      <c r="G250" s="5"/>
      <c r="J250" s="5"/>
    </row>
    <row r="251" spans="2:11" ht="30" customHeight="1" x14ac:dyDescent="0.2">
      <c r="B251" s="1204" t="s">
        <v>5015</v>
      </c>
      <c r="C251" s="1204"/>
      <c r="D251" s="1204"/>
      <c r="E251" s="1204"/>
      <c r="F251" s="1204"/>
      <c r="G251" s="1204"/>
      <c r="H251" s="1204"/>
      <c r="I251" s="1204"/>
      <c r="J251" s="1204"/>
      <c r="K251" s="1204"/>
    </row>
    <row r="252" spans="2:11" ht="50.1" customHeight="1" x14ac:dyDescent="0.2">
      <c r="B252" s="1205"/>
      <c r="C252" s="1205"/>
      <c r="D252" s="1205"/>
      <c r="E252" s="1205"/>
      <c r="F252" s="1205"/>
      <c r="G252" s="1205"/>
      <c r="H252" s="1205"/>
      <c r="I252" s="1205"/>
      <c r="J252" s="1205"/>
      <c r="K252" s="1205"/>
    </row>
    <row r="253" spans="2:11" x14ac:dyDescent="0.2">
      <c r="D253" s="5"/>
      <c r="G253" s="5"/>
      <c r="J253" s="5"/>
    </row>
  </sheetData>
  <sheetProtection algorithmName="SHA-512" hashValue="7RRwETYlwocuvv2BETTw0kWgH54pXLmlfXSYw2IeT3XlV1SwhH3peHb1WfLafX5va/lpX5wIekS6CFJu/s9+2g==" saltValue="OOJ1wB9mmVh0sckk4e4P7w==" spinCount="100000" sheet="1" objects="1" scenarios="1"/>
  <mergeCells count="56">
    <mergeCell ref="F29:F33"/>
    <mergeCell ref="I165:J168"/>
    <mergeCell ref="E199:F199"/>
    <mergeCell ref="E200:F200"/>
    <mergeCell ref="H194:I194"/>
    <mergeCell ref="H192:I192"/>
    <mergeCell ref="H195:I195"/>
    <mergeCell ref="E196:F196"/>
    <mergeCell ref="E197:F197"/>
    <mergeCell ref="E198:F198"/>
    <mergeCell ref="H191:I191"/>
    <mergeCell ref="H190:I190"/>
    <mergeCell ref="E209:F209"/>
    <mergeCell ref="E201:F201"/>
    <mergeCell ref="E202:F202"/>
    <mergeCell ref="E203:F203"/>
    <mergeCell ref="E204:F204"/>
    <mergeCell ref="E205:F205"/>
    <mergeCell ref="B73:B84"/>
    <mergeCell ref="E195:F195"/>
    <mergeCell ref="E194:F194"/>
    <mergeCell ref="E192:F192"/>
    <mergeCell ref="E191:F191"/>
    <mergeCell ref="B86:B97"/>
    <mergeCell ref="B99:B110"/>
    <mergeCell ref="E193:F193"/>
    <mergeCell ref="H209:I209"/>
    <mergeCell ref="H208:I208"/>
    <mergeCell ref="H207:I207"/>
    <mergeCell ref="H193:I193"/>
    <mergeCell ref="H206:I206"/>
    <mergeCell ref="H205:I205"/>
    <mergeCell ref="H204:I204"/>
    <mergeCell ref="H203:I203"/>
    <mergeCell ref="H202:I202"/>
    <mergeCell ref="H201:I201"/>
    <mergeCell ref="H200:I200"/>
    <mergeCell ref="H199:I199"/>
    <mergeCell ref="H198:I198"/>
    <mergeCell ref="H197:I197"/>
    <mergeCell ref="H196:I196"/>
    <mergeCell ref="B252:K252"/>
    <mergeCell ref="B233:K233"/>
    <mergeCell ref="B237:K237"/>
    <mergeCell ref="B234:K234"/>
    <mergeCell ref="B240:K240"/>
    <mergeCell ref="B243:K243"/>
    <mergeCell ref="B246:K246"/>
    <mergeCell ref="A212:K212"/>
    <mergeCell ref="B251:K251"/>
    <mergeCell ref="B248:K248"/>
    <mergeCell ref="B245:K245"/>
    <mergeCell ref="B242:K242"/>
    <mergeCell ref="B239:K239"/>
    <mergeCell ref="B236:K236"/>
    <mergeCell ref="B249:K249"/>
  </mergeCells>
  <dataValidations count="6">
    <dataValidation type="list" allowBlank="1" showInputMessage="1" showErrorMessage="1" sqref="D122:D125 G128 G130:G131 D141:D144 G147 G150:G151 G29 D186 J16" xr:uid="{00000000-0002-0000-0700-000000000000}">
      <formula1>"Yes,No"</formula1>
    </dataValidation>
    <dataValidation type="list" allowBlank="1" showInputMessage="1" showErrorMessage="1" sqref="D185" xr:uid="{00000000-0002-0000-0700-000001000000}">
      <formula1>"Public,Private,Self-Syndicated,Not Syndicated"</formula1>
    </dataValidation>
    <dataValidation type="list" allowBlank="1" showInputMessage="1" showErrorMessage="1" sqref="D45" xr:uid="{00000000-0002-0000-0700-000002000000}">
      <formula1>"Limited Partnership, Limited Liability Corporation"</formula1>
    </dataValidation>
    <dataValidation type="list" allowBlank="1" showInputMessage="1" showErrorMessage="1" sqref="D44 D27 D12 J12 J43 G170 D64 D79 D92 D105" xr:uid="{00000000-0002-0000-0700-000003000000}">
      <formula1>"For-Profit,Non-Profit 501(C)(3),Non-Profit 501(C)(4),Non-Profit 501(C)(5),Government"</formula1>
    </dataValidation>
    <dataValidation type="list" allowBlank="1" showInputMessage="1" showErrorMessage="1" sqref="D65 D80 D93 D106" xr:uid="{00000000-0002-0000-0700-000004000000}">
      <formula1>"General Partner,Managing Member,Other"</formula1>
    </dataValidation>
    <dataValidation type="list" allowBlank="1" showInputMessage="1" showErrorMessage="1" sqref="D70" xr:uid="{00000000-0002-0000-0700-000005000000}">
      <formula1>"Yes, No"</formula1>
    </dataValidation>
  </dataValidations>
  <pageMargins left="0.7" right="0.7" top="0.75" bottom="0.75" header="0.3" footer="0.3"/>
  <pageSetup scale="36" orientation="portrait" r:id="rId1"/>
  <colBreaks count="1" manualBreakCount="1">
    <brk id="14" max="1048575"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136"/>
  <sheetViews>
    <sheetView zoomScale="85" zoomScaleNormal="85" workbookViewId="0">
      <selection activeCell="E15" sqref="E15"/>
    </sheetView>
  </sheetViews>
  <sheetFormatPr defaultColWidth="9" defaultRowHeight="14.25" customHeight="1" x14ac:dyDescent="0.2"/>
  <cols>
    <col min="1" max="1" width="7.625" style="5" customWidth="1"/>
    <col min="2" max="2" width="32" style="5" customWidth="1"/>
    <col min="3" max="3" width="22.25" style="5" customWidth="1"/>
    <col min="4" max="4" width="12.125" style="5" customWidth="1"/>
    <col min="5" max="5" width="8.75" style="5" customWidth="1"/>
    <col min="6" max="6" width="9.5" style="5" customWidth="1"/>
    <col min="7" max="7" width="11" style="5" bestFit="1" customWidth="1"/>
    <col min="8" max="8" width="15.25" style="5" customWidth="1"/>
    <col min="9" max="9" width="17" style="5" customWidth="1"/>
    <col min="10" max="10" width="9.625" style="5" customWidth="1"/>
    <col min="11" max="11" width="16.25" style="5" customWidth="1"/>
    <col min="12" max="12" width="21.25" style="5" customWidth="1"/>
    <col min="13" max="13" width="21.625" style="5" bestFit="1" customWidth="1"/>
    <col min="14" max="14" width="18.875" style="5" customWidth="1"/>
    <col min="15" max="15" width="16.875" style="5" customWidth="1"/>
    <col min="16" max="16384" width="9" style="191"/>
  </cols>
  <sheetData>
    <row r="1" spans="1:16" ht="54.95" customHeight="1" x14ac:dyDescent="0.2"/>
    <row r="2" spans="1:16" s="192" customFormat="1" ht="22.5" x14ac:dyDescent="0.3">
      <c r="A2" s="3" t="s">
        <v>5915</v>
      </c>
      <c r="B2" s="1"/>
      <c r="C2" s="1"/>
      <c r="D2" s="1"/>
      <c r="E2" s="1"/>
      <c r="F2" s="1"/>
      <c r="G2" s="1"/>
      <c r="H2" s="1"/>
      <c r="I2" s="1"/>
      <c r="J2" s="1"/>
      <c r="K2" s="1"/>
      <c r="L2" s="1"/>
      <c r="M2" s="1"/>
      <c r="N2" s="1"/>
      <c r="O2" s="1"/>
    </row>
    <row r="3" spans="1:16" s="193" customFormat="1" ht="15.75" x14ac:dyDescent="0.25">
      <c r="A3" s="4" t="s">
        <v>4297</v>
      </c>
      <c r="B3" s="38">
        <f>'Project Details'!C7</f>
        <v>0</v>
      </c>
      <c r="C3" s="38"/>
      <c r="D3" s="39"/>
      <c r="E3" s="2"/>
      <c r="F3" s="2"/>
      <c r="G3" s="2"/>
      <c r="H3" s="2"/>
      <c r="I3" s="2"/>
      <c r="J3" s="2"/>
      <c r="K3" s="2"/>
      <c r="L3" s="2"/>
      <c r="M3" s="2"/>
      <c r="N3" s="2"/>
      <c r="O3" s="2"/>
    </row>
    <row r="4" spans="1:16" ht="42" customHeight="1" x14ac:dyDescent="0.2">
      <c r="A4" s="1216" t="s">
        <v>5916</v>
      </c>
      <c r="B4" s="1217"/>
      <c r="C4" s="1217"/>
      <c r="D4" s="1217"/>
      <c r="E4" s="1217"/>
      <c r="F4" s="1217"/>
      <c r="G4" s="1217"/>
      <c r="H4" s="1217"/>
      <c r="I4" s="1217"/>
      <c r="J4" s="1217"/>
      <c r="K4" s="1217"/>
      <c r="L4" s="1217"/>
      <c r="M4" s="1217"/>
      <c r="N4" s="1217"/>
      <c r="O4" s="26"/>
      <c r="P4" s="194"/>
    </row>
    <row r="5" spans="1:16" ht="95.25" customHeight="1" x14ac:dyDescent="0.2">
      <c r="A5" s="1218" t="s">
        <v>5917</v>
      </c>
      <c r="B5" s="1218"/>
      <c r="C5" s="1218"/>
      <c r="D5" s="1218"/>
      <c r="E5" s="1218"/>
      <c r="F5" s="1218"/>
      <c r="G5" s="1218"/>
      <c r="H5" s="1218"/>
      <c r="I5" s="1218"/>
      <c r="J5" s="1218"/>
      <c r="K5" s="1218"/>
      <c r="L5" s="49"/>
      <c r="M5" s="49"/>
      <c r="N5" s="49"/>
      <c r="O5" s="26"/>
      <c r="P5" s="194"/>
    </row>
    <row r="6" spans="1:16" ht="56.25" customHeight="1" x14ac:dyDescent="0.2">
      <c r="A6" s="1218" t="s">
        <v>5008</v>
      </c>
      <c r="B6" s="1218"/>
      <c r="C6" s="1218"/>
      <c r="D6" s="1218"/>
      <c r="E6" s="1218"/>
      <c r="F6" s="1218"/>
      <c r="G6" s="1218"/>
      <c r="H6" s="1218"/>
      <c r="I6" s="1218"/>
      <c r="J6" s="1218"/>
      <c r="K6" s="1218"/>
      <c r="L6" s="26"/>
      <c r="M6" s="26"/>
      <c r="N6" s="26"/>
      <c r="O6" s="26"/>
      <c r="P6" s="194"/>
    </row>
    <row r="7" spans="1:16" x14ac:dyDescent="0.2">
      <c r="A7" s="49"/>
      <c r="B7" s="49"/>
      <c r="C7" s="49"/>
      <c r="D7" s="49"/>
      <c r="E7" s="49"/>
      <c r="F7" s="49"/>
      <c r="G7" s="49"/>
      <c r="H7" s="49"/>
      <c r="I7" s="49"/>
      <c r="J7" s="49"/>
      <c r="K7" s="49"/>
      <c r="L7" s="49"/>
      <c r="M7" s="49"/>
      <c r="N7" s="49"/>
      <c r="O7" s="49"/>
      <c r="P7" s="195"/>
    </row>
    <row r="8" spans="1:16" ht="14.25" customHeight="1" x14ac:dyDescent="0.25">
      <c r="A8" s="6" t="s">
        <v>3756</v>
      </c>
    </row>
    <row r="9" spans="1:16" ht="14.25" customHeight="1" x14ac:dyDescent="0.25">
      <c r="A9" s="96" t="str">
        <f>IF('Development Team'!D6="","None Listed on Development Team Tab",'Development Team'!D6)</f>
        <v>None Listed on Development Team Tab</v>
      </c>
    </row>
    <row r="10" spans="1:16" ht="14.25" customHeight="1" x14ac:dyDescent="0.25">
      <c r="A10" s="96"/>
      <c r="B10" s="5" t="s">
        <v>3767</v>
      </c>
      <c r="D10" s="164"/>
      <c r="F10" s="5" t="str">
        <f>IF(D10="Yes","Describe:","")</f>
        <v/>
      </c>
      <c r="G10" s="1219"/>
      <c r="H10" s="1219"/>
      <c r="I10" s="1219"/>
      <c r="J10" s="1219"/>
      <c r="K10" s="1219"/>
    </row>
    <row r="11" spans="1:16" ht="14.25" customHeight="1" x14ac:dyDescent="0.25">
      <c r="A11" s="96"/>
      <c r="B11" s="5" t="s">
        <v>5006</v>
      </c>
      <c r="D11" s="164"/>
      <c r="G11" s="414"/>
      <c r="H11" s="414"/>
      <c r="I11" s="414"/>
      <c r="J11" s="414"/>
      <c r="K11" s="414"/>
    </row>
    <row r="12" spans="1:16" ht="14.25" customHeight="1" x14ac:dyDescent="0.25">
      <c r="A12" s="96"/>
      <c r="B12" s="5" t="s">
        <v>5202</v>
      </c>
      <c r="D12" s="164"/>
      <c r="G12" s="414"/>
      <c r="H12" s="414"/>
      <c r="I12" s="414"/>
      <c r="J12" s="414"/>
      <c r="K12" s="414"/>
    </row>
    <row r="13" spans="1:16" ht="14.25" customHeight="1" x14ac:dyDescent="0.25">
      <c r="A13" s="96"/>
      <c r="D13" s="956"/>
      <c r="G13" s="414"/>
      <c r="H13" s="414"/>
      <c r="I13" s="414"/>
      <c r="J13" s="414"/>
      <c r="K13" s="414"/>
    </row>
    <row r="14" spans="1:16" ht="14.25" customHeight="1" x14ac:dyDescent="0.25">
      <c r="A14" s="96"/>
    </row>
    <row r="15" spans="1:16" s="196" customFormat="1" ht="60" x14ac:dyDescent="0.2">
      <c r="A15" s="24"/>
      <c r="B15" s="57" t="s">
        <v>3758</v>
      </c>
      <c r="C15" s="57" t="s">
        <v>3759</v>
      </c>
      <c r="D15" s="57" t="s">
        <v>3062</v>
      </c>
      <c r="E15" s="57" t="s">
        <v>11</v>
      </c>
      <c r="F15" s="57" t="s">
        <v>3063</v>
      </c>
      <c r="G15" s="57" t="s">
        <v>3760</v>
      </c>
      <c r="H15" s="57" t="s">
        <v>3768</v>
      </c>
      <c r="I15" s="57" t="s">
        <v>3110</v>
      </c>
      <c r="J15" s="57" t="s">
        <v>3106</v>
      </c>
      <c r="K15" s="57" t="s">
        <v>3761</v>
      </c>
      <c r="L15" s="57" t="s">
        <v>3120</v>
      </c>
      <c r="M15" s="57" t="s">
        <v>3762</v>
      </c>
      <c r="N15" s="57" t="s">
        <v>3763</v>
      </c>
      <c r="O15" s="21"/>
    </row>
    <row r="16" spans="1:16" ht="14.25" customHeight="1" x14ac:dyDescent="0.2">
      <c r="A16" s="53"/>
      <c r="B16" s="171"/>
      <c r="C16" s="171"/>
      <c r="D16" s="171"/>
      <c r="E16" s="171"/>
      <c r="F16" s="171"/>
      <c r="G16" s="141"/>
      <c r="H16" s="171"/>
      <c r="I16" s="190"/>
      <c r="J16" s="171"/>
      <c r="K16" s="190"/>
      <c r="L16" s="190"/>
      <c r="M16" s="190"/>
      <c r="N16" s="190"/>
    </row>
    <row r="17" spans="1:15" ht="14.25" customHeight="1" x14ac:dyDescent="0.2">
      <c r="A17" s="53"/>
      <c r="B17" s="171"/>
      <c r="C17" s="171"/>
      <c r="D17" s="171"/>
      <c r="E17" s="171"/>
      <c r="F17" s="171"/>
      <c r="G17" s="141"/>
      <c r="H17" s="171"/>
      <c r="I17" s="190"/>
      <c r="J17" s="171"/>
      <c r="K17" s="190"/>
      <c r="L17" s="190"/>
      <c r="M17" s="190"/>
      <c r="N17" s="190"/>
    </row>
    <row r="18" spans="1:15" ht="14.25" customHeight="1" x14ac:dyDescent="0.2">
      <c r="A18" s="53"/>
      <c r="B18" s="171"/>
      <c r="C18" s="171"/>
      <c r="D18" s="171"/>
      <c r="E18" s="171"/>
      <c r="F18" s="171"/>
      <c r="G18" s="141"/>
      <c r="H18" s="171"/>
      <c r="I18" s="190"/>
      <c r="J18" s="171"/>
      <c r="K18" s="190"/>
      <c r="L18" s="190"/>
      <c r="M18" s="190"/>
      <c r="N18" s="190"/>
    </row>
    <row r="19" spans="1:15" ht="14.25" customHeight="1" x14ac:dyDescent="0.2">
      <c r="A19" s="53"/>
      <c r="B19" s="171"/>
      <c r="C19" s="171"/>
      <c r="D19" s="171"/>
      <c r="E19" s="171"/>
      <c r="F19" s="171"/>
      <c r="G19" s="141"/>
      <c r="H19" s="171"/>
      <c r="I19" s="190"/>
      <c r="J19" s="171"/>
      <c r="K19" s="190"/>
      <c r="L19" s="190"/>
      <c r="M19" s="190"/>
      <c r="N19" s="190"/>
    </row>
    <row r="20" spans="1:15" ht="14.25" customHeight="1" x14ac:dyDescent="0.2">
      <c r="A20" s="53"/>
      <c r="B20" s="171"/>
      <c r="C20" s="171"/>
      <c r="D20" s="171"/>
      <c r="E20" s="171"/>
      <c r="F20" s="171"/>
      <c r="G20" s="141"/>
      <c r="H20" s="171"/>
      <c r="I20" s="190"/>
      <c r="J20" s="171"/>
      <c r="K20" s="190"/>
      <c r="L20" s="190"/>
      <c r="M20" s="190"/>
      <c r="N20" s="190"/>
    </row>
    <row r="21" spans="1:15" ht="14.25" customHeight="1" x14ac:dyDescent="0.2">
      <c r="A21" s="53"/>
    </row>
    <row r="22" spans="1:15" ht="14.25" customHeight="1" x14ac:dyDescent="0.2">
      <c r="A22" s="53"/>
      <c r="B22" s="1220" t="s">
        <v>4035</v>
      </c>
      <c r="C22" s="1220"/>
      <c r="D22" s="1220"/>
      <c r="E22" s="1220"/>
      <c r="F22" s="1220"/>
      <c r="G22" s="1220"/>
      <c r="H22" s="1220"/>
      <c r="I22" s="1220"/>
      <c r="J22" s="1220"/>
      <c r="K22" s="1220"/>
    </row>
    <row r="23" spans="1:15" ht="53.25" customHeight="1" x14ac:dyDescent="0.2">
      <c r="A23" s="53"/>
      <c r="B23" s="1205"/>
      <c r="C23" s="1205"/>
      <c r="D23" s="1205"/>
      <c r="E23" s="1205"/>
      <c r="F23" s="1205"/>
      <c r="G23" s="1205"/>
      <c r="H23" s="1205"/>
      <c r="I23" s="1205"/>
      <c r="J23" s="1205"/>
      <c r="K23" s="1205"/>
    </row>
    <row r="24" spans="1:15" ht="14.25" customHeight="1" x14ac:dyDescent="0.2">
      <c r="A24" s="53"/>
    </row>
    <row r="25" spans="1:15" ht="14.25" customHeight="1" x14ac:dyDescent="0.25">
      <c r="A25" s="98" t="s">
        <v>3757</v>
      </c>
    </row>
    <row r="26" spans="1:15" ht="14.25" customHeight="1" x14ac:dyDescent="0.25">
      <c r="A26" s="58" t="str">
        <f>IF('Development Team'!J6="","None Listed on Development Team Tab",'Development Team'!J6)</f>
        <v>None Listed on Development Team Tab</v>
      </c>
    </row>
    <row r="27" spans="1:15" ht="14.25" customHeight="1" x14ac:dyDescent="0.25">
      <c r="A27" s="96"/>
      <c r="B27" s="5" t="s">
        <v>3767</v>
      </c>
      <c r="D27" s="164"/>
      <c r="F27" s="5" t="str">
        <f>IF(D27="Yes","Describe:","")</f>
        <v/>
      </c>
      <c r="G27" s="1219"/>
      <c r="H27" s="1219"/>
      <c r="I27" s="1219"/>
      <c r="J27" s="1219"/>
      <c r="K27" s="1219"/>
    </row>
    <row r="28" spans="1:15" ht="14.25" customHeight="1" x14ac:dyDescent="0.25">
      <c r="A28" s="96"/>
      <c r="B28" s="5" t="s">
        <v>5006</v>
      </c>
      <c r="D28" s="164"/>
      <c r="G28" s="414"/>
      <c r="H28" s="414"/>
      <c r="I28" s="414"/>
      <c r="J28" s="414"/>
      <c r="K28" s="414"/>
    </row>
    <row r="29" spans="1:15" ht="14.25" customHeight="1" x14ac:dyDescent="0.25">
      <c r="A29" s="96"/>
      <c r="B29" s="5" t="s">
        <v>5007</v>
      </c>
      <c r="D29" s="164"/>
      <c r="G29" s="414"/>
      <c r="H29" s="414"/>
      <c r="I29" s="414"/>
      <c r="J29" s="414"/>
      <c r="K29" s="414"/>
    </row>
    <row r="30" spans="1:15" ht="14.25" customHeight="1" x14ac:dyDescent="0.25">
      <c r="A30" s="96"/>
    </row>
    <row r="31" spans="1:15" s="196" customFormat="1" ht="60" x14ac:dyDescent="0.2">
      <c r="A31" s="24"/>
      <c r="B31" s="57" t="s">
        <v>3758</v>
      </c>
      <c r="C31" s="57" t="s">
        <v>3759</v>
      </c>
      <c r="D31" s="57" t="s">
        <v>3062</v>
      </c>
      <c r="E31" s="57" t="s">
        <v>11</v>
      </c>
      <c r="F31" s="57" t="s">
        <v>3063</v>
      </c>
      <c r="G31" s="57" t="s">
        <v>3760</v>
      </c>
      <c r="H31" s="57" t="s">
        <v>3768</v>
      </c>
      <c r="I31" s="57" t="s">
        <v>3110</v>
      </c>
      <c r="J31" s="57" t="s">
        <v>3106</v>
      </c>
      <c r="K31" s="57" t="s">
        <v>3761</v>
      </c>
      <c r="L31" s="57" t="s">
        <v>3120</v>
      </c>
      <c r="M31" s="57" t="s">
        <v>3762</v>
      </c>
      <c r="N31" s="57" t="s">
        <v>3763</v>
      </c>
      <c r="O31" s="21"/>
    </row>
    <row r="32" spans="1:15" ht="14.25" customHeight="1" x14ac:dyDescent="0.2">
      <c r="A32" s="53"/>
      <c r="B32" s="171"/>
      <c r="C32" s="171"/>
      <c r="D32" s="171"/>
      <c r="E32" s="171"/>
      <c r="F32" s="171"/>
      <c r="G32" s="141"/>
      <c r="H32" s="171"/>
      <c r="I32" s="190"/>
      <c r="J32" s="171"/>
      <c r="K32" s="190"/>
      <c r="L32" s="190"/>
      <c r="M32" s="190"/>
      <c r="N32" s="190"/>
    </row>
    <row r="33" spans="1:15" ht="14.25" customHeight="1" x14ac:dyDescent="0.2">
      <c r="A33" s="53"/>
      <c r="B33" s="171"/>
      <c r="C33" s="171"/>
      <c r="D33" s="171"/>
      <c r="E33" s="171"/>
      <c r="F33" s="171"/>
      <c r="G33" s="141"/>
      <c r="H33" s="171"/>
      <c r="I33" s="190"/>
      <c r="J33" s="171"/>
      <c r="K33" s="190"/>
      <c r="L33" s="190"/>
      <c r="M33" s="190"/>
      <c r="N33" s="190"/>
    </row>
    <row r="34" spans="1:15" ht="14.25" customHeight="1" x14ac:dyDescent="0.2">
      <c r="A34" s="53"/>
      <c r="B34" s="171"/>
      <c r="C34" s="171"/>
      <c r="D34" s="171"/>
      <c r="E34" s="171"/>
      <c r="F34" s="171"/>
      <c r="G34" s="141"/>
      <c r="H34" s="171"/>
      <c r="I34" s="190"/>
      <c r="J34" s="171"/>
      <c r="K34" s="190"/>
      <c r="L34" s="190"/>
      <c r="M34" s="190"/>
      <c r="N34" s="190"/>
    </row>
    <row r="35" spans="1:15" ht="14.25" customHeight="1" x14ac:dyDescent="0.2">
      <c r="A35" s="53"/>
      <c r="B35" s="171"/>
      <c r="C35" s="171"/>
      <c r="D35" s="171"/>
      <c r="E35" s="171"/>
      <c r="F35" s="171"/>
      <c r="G35" s="141"/>
      <c r="H35" s="171"/>
      <c r="I35" s="190"/>
      <c r="J35" s="171"/>
      <c r="K35" s="190"/>
      <c r="L35" s="190"/>
      <c r="M35" s="190"/>
      <c r="N35" s="190"/>
    </row>
    <row r="36" spans="1:15" ht="14.25" customHeight="1" x14ac:dyDescent="0.2">
      <c r="A36" s="53"/>
      <c r="B36" s="171"/>
      <c r="C36" s="171"/>
      <c r="D36" s="171"/>
      <c r="E36" s="171"/>
      <c r="F36" s="171"/>
      <c r="G36" s="141"/>
      <c r="H36" s="171"/>
      <c r="I36" s="190"/>
      <c r="J36" s="171"/>
      <c r="K36" s="190"/>
      <c r="L36" s="190"/>
      <c r="M36" s="190"/>
      <c r="N36" s="190"/>
    </row>
    <row r="37" spans="1:15" ht="14.25" customHeight="1" x14ac:dyDescent="0.25">
      <c r="A37" s="98"/>
    </row>
    <row r="38" spans="1:15" ht="14.25" customHeight="1" x14ac:dyDescent="0.25">
      <c r="A38" s="98" t="s">
        <v>4346</v>
      </c>
    </row>
    <row r="39" spans="1:15" ht="14.25" customHeight="1" x14ac:dyDescent="0.25">
      <c r="A39" s="58" t="str">
        <f>IF('Development Team'!D69="","None Listed on Development Team Tab",'Development Team'!D69)</f>
        <v>None Listed on Development Team Tab</v>
      </c>
    </row>
    <row r="40" spans="1:15" ht="14.25" customHeight="1" x14ac:dyDescent="0.25">
      <c r="A40" s="96"/>
      <c r="B40" s="5" t="s">
        <v>3767</v>
      </c>
      <c r="D40" s="164"/>
      <c r="F40" s="5" t="str">
        <f>IF(D40="Yes","Describe:","")</f>
        <v/>
      </c>
      <c r="G40" s="1219"/>
      <c r="H40" s="1219"/>
      <c r="I40" s="1219"/>
      <c r="J40" s="1219"/>
      <c r="K40" s="1219"/>
    </row>
    <row r="41" spans="1:15" ht="14.25" customHeight="1" x14ac:dyDescent="0.25">
      <c r="A41" s="96"/>
      <c r="B41" s="5" t="s">
        <v>5006</v>
      </c>
      <c r="D41" s="164"/>
    </row>
    <row r="42" spans="1:15" ht="14.25" customHeight="1" x14ac:dyDescent="0.25">
      <c r="A42" s="96"/>
      <c r="B42" s="5" t="s">
        <v>5007</v>
      </c>
      <c r="D42" s="164"/>
    </row>
    <row r="43" spans="1:15" ht="14.25" customHeight="1" x14ac:dyDescent="0.25">
      <c r="A43" s="96"/>
    </row>
    <row r="44" spans="1:15" s="196" customFormat="1" ht="60" x14ac:dyDescent="0.25">
      <c r="A44" s="99"/>
      <c r="B44" s="57" t="s">
        <v>3758</v>
      </c>
      <c r="C44" s="57" t="s">
        <v>3759</v>
      </c>
      <c r="D44" s="57" t="s">
        <v>3062</v>
      </c>
      <c r="E44" s="57" t="s">
        <v>11</v>
      </c>
      <c r="F44" s="57" t="s">
        <v>3063</v>
      </c>
      <c r="G44" s="57" t="s">
        <v>3760</v>
      </c>
      <c r="H44" s="57" t="s">
        <v>3768</v>
      </c>
      <c r="I44" s="57" t="s">
        <v>3110</v>
      </c>
      <c r="J44" s="57" t="s">
        <v>3106</v>
      </c>
      <c r="K44" s="57" t="s">
        <v>3761</v>
      </c>
      <c r="L44" s="57" t="s">
        <v>3120</v>
      </c>
      <c r="M44" s="57" t="s">
        <v>3762</v>
      </c>
      <c r="N44" s="57" t="s">
        <v>3763</v>
      </c>
      <c r="O44" s="21"/>
    </row>
    <row r="45" spans="1:15" ht="14.25" customHeight="1" x14ac:dyDescent="0.25">
      <c r="A45" s="98"/>
      <c r="B45" s="171"/>
      <c r="C45" s="171"/>
      <c r="D45" s="171"/>
      <c r="E45" s="171"/>
      <c r="F45" s="171"/>
      <c r="G45" s="141"/>
      <c r="H45" s="171"/>
      <c r="I45" s="190"/>
      <c r="J45" s="171"/>
      <c r="K45" s="190"/>
      <c r="L45" s="190"/>
      <c r="M45" s="190"/>
      <c r="N45" s="190"/>
    </row>
    <row r="46" spans="1:15" ht="14.25" customHeight="1" x14ac:dyDescent="0.25">
      <c r="A46" s="98"/>
      <c r="B46" s="171"/>
      <c r="C46" s="171"/>
      <c r="D46" s="171"/>
      <c r="E46" s="171"/>
      <c r="F46" s="171"/>
      <c r="G46" s="141"/>
      <c r="H46" s="171"/>
      <c r="I46" s="190"/>
      <c r="J46" s="171"/>
      <c r="K46" s="190"/>
      <c r="L46" s="190"/>
      <c r="M46" s="190"/>
      <c r="N46" s="190"/>
    </row>
    <row r="47" spans="1:15" ht="14.25" customHeight="1" x14ac:dyDescent="0.25">
      <c r="A47" s="98"/>
      <c r="B47" s="171"/>
      <c r="C47" s="171"/>
      <c r="D47" s="171"/>
      <c r="E47" s="171"/>
      <c r="F47" s="171"/>
      <c r="G47" s="141"/>
      <c r="H47" s="171"/>
      <c r="I47" s="190"/>
      <c r="J47" s="171"/>
      <c r="K47" s="190"/>
      <c r="L47" s="190"/>
      <c r="M47" s="190"/>
      <c r="N47" s="190"/>
    </row>
    <row r="48" spans="1:15" ht="14.25" customHeight="1" x14ac:dyDescent="0.25">
      <c r="A48" s="98"/>
      <c r="B48" s="171"/>
      <c r="C48" s="171"/>
      <c r="D48" s="171"/>
      <c r="E48" s="171"/>
      <c r="F48" s="171"/>
      <c r="G48" s="141"/>
      <c r="H48" s="171"/>
      <c r="I48" s="190"/>
      <c r="J48" s="171"/>
      <c r="K48" s="190"/>
      <c r="L48" s="190"/>
      <c r="M48" s="190"/>
      <c r="N48" s="190"/>
    </row>
    <row r="49" spans="1:15" ht="14.25" customHeight="1" x14ac:dyDescent="0.25">
      <c r="A49" s="98"/>
      <c r="B49" s="171"/>
      <c r="C49" s="171"/>
      <c r="D49" s="171"/>
      <c r="E49" s="171"/>
      <c r="F49" s="171"/>
      <c r="G49" s="141"/>
      <c r="H49" s="171"/>
      <c r="I49" s="190"/>
      <c r="J49" s="171"/>
      <c r="K49" s="190"/>
      <c r="L49" s="190"/>
      <c r="M49" s="190"/>
      <c r="N49" s="190"/>
    </row>
    <row r="50" spans="1:15" ht="14.25" customHeight="1" x14ac:dyDescent="0.25">
      <c r="A50" s="98"/>
    </row>
    <row r="51" spans="1:15" ht="14.25" customHeight="1" x14ac:dyDescent="0.25">
      <c r="A51" s="98" t="s">
        <v>4347</v>
      </c>
    </row>
    <row r="52" spans="1:15" ht="14.25" customHeight="1" x14ac:dyDescent="0.25">
      <c r="A52" s="58" t="str">
        <f>IF('Development Team'!D84="","None Listed on Development Team Tab",'Development Team'!D84)</f>
        <v>None Listed on Development Team Tab</v>
      </c>
    </row>
    <row r="53" spans="1:15" ht="14.25" customHeight="1" x14ac:dyDescent="0.25">
      <c r="A53" s="96"/>
      <c r="B53" s="5" t="s">
        <v>3767</v>
      </c>
      <c r="D53" s="164"/>
      <c r="F53" s="5" t="str">
        <f>IF(D53="Yes","Describe:","")</f>
        <v/>
      </c>
      <c r="G53" s="1219"/>
      <c r="H53" s="1219"/>
      <c r="I53" s="1219"/>
      <c r="J53" s="1219"/>
      <c r="K53" s="1219"/>
    </row>
    <row r="54" spans="1:15" ht="14.25" customHeight="1" x14ac:dyDescent="0.25">
      <c r="A54" s="96"/>
      <c r="B54" s="5" t="s">
        <v>5006</v>
      </c>
      <c r="D54" s="164"/>
      <c r="G54" s="414"/>
      <c r="H54" s="414"/>
      <c r="I54" s="414"/>
      <c r="J54" s="414"/>
      <c r="K54" s="414"/>
    </row>
    <row r="55" spans="1:15" ht="14.25" customHeight="1" x14ac:dyDescent="0.25">
      <c r="A55" s="96"/>
      <c r="B55" s="5" t="s">
        <v>5007</v>
      </c>
      <c r="D55" s="164"/>
      <c r="G55" s="414"/>
      <c r="H55" s="414"/>
      <c r="I55" s="414"/>
      <c r="J55" s="414"/>
      <c r="K55" s="414"/>
    </row>
    <row r="56" spans="1:15" ht="14.25" customHeight="1" x14ac:dyDescent="0.25">
      <c r="A56" s="96"/>
    </row>
    <row r="57" spans="1:15" s="196" customFormat="1" ht="60" x14ac:dyDescent="0.25">
      <c r="A57" s="99"/>
      <c r="B57" s="57" t="s">
        <v>3758</v>
      </c>
      <c r="C57" s="57" t="s">
        <v>3759</v>
      </c>
      <c r="D57" s="57" t="s">
        <v>3062</v>
      </c>
      <c r="E57" s="57" t="s">
        <v>11</v>
      </c>
      <c r="F57" s="57" t="s">
        <v>3063</v>
      </c>
      <c r="G57" s="57" t="s">
        <v>3760</v>
      </c>
      <c r="H57" s="57" t="s">
        <v>3768</v>
      </c>
      <c r="I57" s="57" t="s">
        <v>3110</v>
      </c>
      <c r="J57" s="57" t="s">
        <v>3106</v>
      </c>
      <c r="K57" s="57" t="s">
        <v>3761</v>
      </c>
      <c r="L57" s="57" t="s">
        <v>3120</v>
      </c>
      <c r="M57" s="57" t="s">
        <v>3762</v>
      </c>
      <c r="N57" s="57" t="s">
        <v>3763</v>
      </c>
      <c r="O57" s="21"/>
    </row>
    <row r="58" spans="1:15" ht="14.25" customHeight="1" x14ac:dyDescent="0.25">
      <c r="A58" s="98"/>
      <c r="B58" s="171"/>
      <c r="C58" s="171"/>
      <c r="D58" s="171"/>
      <c r="E58" s="171"/>
      <c r="F58" s="171"/>
      <c r="G58" s="141"/>
      <c r="H58" s="171"/>
      <c r="I58" s="190"/>
      <c r="J58" s="171"/>
      <c r="K58" s="190"/>
      <c r="L58" s="190"/>
      <c r="M58" s="190"/>
      <c r="N58" s="190"/>
    </row>
    <row r="59" spans="1:15" ht="14.25" customHeight="1" x14ac:dyDescent="0.25">
      <c r="A59" s="98"/>
      <c r="B59" s="171"/>
      <c r="C59" s="171"/>
      <c r="D59" s="171"/>
      <c r="E59" s="171"/>
      <c r="F59" s="171"/>
      <c r="G59" s="141"/>
      <c r="H59" s="171"/>
      <c r="I59" s="190"/>
      <c r="J59" s="171"/>
      <c r="K59" s="190"/>
      <c r="L59" s="190"/>
      <c r="M59" s="190"/>
      <c r="N59" s="190"/>
    </row>
    <row r="60" spans="1:15" ht="14.25" customHeight="1" x14ac:dyDescent="0.25">
      <c r="A60" s="98"/>
      <c r="B60" s="171"/>
      <c r="C60" s="171"/>
      <c r="D60" s="171"/>
      <c r="E60" s="171"/>
      <c r="F60" s="171"/>
      <c r="G60" s="141"/>
      <c r="H60" s="171"/>
      <c r="I60" s="190"/>
      <c r="J60" s="171"/>
      <c r="K60" s="190"/>
      <c r="L60" s="190"/>
      <c r="M60" s="190"/>
      <c r="N60" s="190"/>
    </row>
    <row r="61" spans="1:15" ht="14.25" customHeight="1" x14ac:dyDescent="0.25">
      <c r="A61" s="98"/>
      <c r="B61" s="171"/>
      <c r="C61" s="171"/>
      <c r="D61" s="171"/>
      <c r="E61" s="171"/>
      <c r="F61" s="171"/>
      <c r="G61" s="141"/>
      <c r="H61" s="171"/>
      <c r="I61" s="190"/>
      <c r="J61" s="171"/>
      <c r="K61" s="190"/>
      <c r="L61" s="190"/>
      <c r="M61" s="190"/>
      <c r="N61" s="190"/>
    </row>
    <row r="62" spans="1:15" ht="14.25" customHeight="1" x14ac:dyDescent="0.25">
      <c r="A62" s="98"/>
      <c r="B62" s="171"/>
      <c r="C62" s="171"/>
      <c r="D62" s="171"/>
      <c r="E62" s="171"/>
      <c r="F62" s="171"/>
      <c r="G62" s="141"/>
      <c r="H62" s="171"/>
      <c r="I62" s="190"/>
      <c r="J62" s="171"/>
      <c r="K62" s="190"/>
      <c r="L62" s="190"/>
      <c r="M62" s="190"/>
      <c r="N62" s="190"/>
    </row>
    <row r="63" spans="1:15" ht="14.25" customHeight="1" x14ac:dyDescent="0.25">
      <c r="A63" s="98"/>
    </row>
    <row r="64" spans="1:15" ht="14.25" customHeight="1" x14ac:dyDescent="0.25">
      <c r="A64" s="98" t="s">
        <v>4348</v>
      </c>
    </row>
    <row r="65" spans="1:15" ht="14.25" customHeight="1" x14ac:dyDescent="0.25">
      <c r="A65" s="58" t="str">
        <f>IF('Development Team'!D97="","None Listed on Development Team Tab",'Development Team'!D97)</f>
        <v>None Listed on Development Team Tab</v>
      </c>
    </row>
    <row r="66" spans="1:15" ht="14.25" customHeight="1" x14ac:dyDescent="0.25">
      <c r="A66" s="96"/>
      <c r="B66" s="5" t="s">
        <v>3767</v>
      </c>
      <c r="D66" s="164"/>
      <c r="F66" s="5" t="str">
        <f>IF(D66="Yes","Describe:","")</f>
        <v/>
      </c>
      <c r="G66" s="1219"/>
      <c r="H66" s="1219"/>
      <c r="I66" s="1219"/>
      <c r="J66" s="1219"/>
      <c r="K66" s="1219"/>
    </row>
    <row r="67" spans="1:15" ht="14.25" customHeight="1" x14ac:dyDescent="0.25">
      <c r="A67" s="96"/>
      <c r="B67" s="5" t="s">
        <v>5006</v>
      </c>
      <c r="D67" s="164"/>
      <c r="G67" s="414"/>
      <c r="H67" s="414"/>
      <c r="I67" s="414"/>
      <c r="J67" s="414"/>
      <c r="K67" s="414"/>
    </row>
    <row r="68" spans="1:15" ht="14.25" customHeight="1" x14ac:dyDescent="0.25">
      <c r="A68" s="96"/>
      <c r="B68" s="5" t="s">
        <v>5007</v>
      </c>
      <c r="D68" s="164"/>
      <c r="G68" s="414"/>
      <c r="H68" s="414"/>
      <c r="I68" s="414"/>
      <c r="J68" s="414"/>
      <c r="K68" s="414"/>
    </row>
    <row r="69" spans="1:15" ht="14.25" customHeight="1" x14ac:dyDescent="0.25">
      <c r="A69" s="96"/>
    </row>
    <row r="70" spans="1:15" s="196" customFormat="1" ht="60" x14ac:dyDescent="0.25">
      <c r="A70" s="99"/>
      <c r="B70" s="57" t="s">
        <v>3758</v>
      </c>
      <c r="C70" s="57" t="s">
        <v>3759</v>
      </c>
      <c r="D70" s="57" t="s">
        <v>3062</v>
      </c>
      <c r="E70" s="57" t="s">
        <v>11</v>
      </c>
      <c r="F70" s="57" t="s">
        <v>3063</v>
      </c>
      <c r="G70" s="57" t="s">
        <v>3760</v>
      </c>
      <c r="H70" s="57" t="s">
        <v>3768</v>
      </c>
      <c r="I70" s="57" t="s">
        <v>3110</v>
      </c>
      <c r="J70" s="57" t="s">
        <v>3106</v>
      </c>
      <c r="K70" s="57" t="s">
        <v>3761</v>
      </c>
      <c r="L70" s="57" t="s">
        <v>3120</v>
      </c>
      <c r="M70" s="57" t="s">
        <v>3762</v>
      </c>
      <c r="N70" s="57" t="s">
        <v>3763</v>
      </c>
      <c r="O70" s="21"/>
    </row>
    <row r="71" spans="1:15" ht="14.25" customHeight="1" x14ac:dyDescent="0.25">
      <c r="A71" s="98"/>
      <c r="B71" s="171"/>
      <c r="C71" s="171"/>
      <c r="D71" s="171"/>
      <c r="E71" s="171"/>
      <c r="F71" s="171"/>
      <c r="G71" s="141"/>
      <c r="H71" s="171"/>
      <c r="I71" s="190"/>
      <c r="J71" s="171"/>
      <c r="K71" s="190"/>
      <c r="L71" s="190"/>
      <c r="M71" s="190"/>
      <c r="N71" s="190"/>
    </row>
    <row r="72" spans="1:15" ht="14.25" customHeight="1" x14ac:dyDescent="0.25">
      <c r="A72" s="98"/>
      <c r="B72" s="171"/>
      <c r="C72" s="171"/>
      <c r="D72" s="171"/>
      <c r="E72" s="171"/>
      <c r="F72" s="171"/>
      <c r="G72" s="141"/>
      <c r="H72" s="171"/>
      <c r="I72" s="190"/>
      <c r="J72" s="171"/>
      <c r="K72" s="190"/>
      <c r="L72" s="190"/>
      <c r="M72" s="190"/>
      <c r="N72" s="190"/>
    </row>
    <row r="73" spans="1:15" ht="14.25" customHeight="1" x14ac:dyDescent="0.25">
      <c r="A73" s="98"/>
      <c r="B73" s="171"/>
      <c r="C73" s="171"/>
      <c r="D73" s="171"/>
      <c r="E73" s="171"/>
      <c r="F73" s="171"/>
      <c r="G73" s="141"/>
      <c r="H73" s="171"/>
      <c r="I73" s="190"/>
      <c r="J73" s="171"/>
      <c r="K73" s="190"/>
      <c r="L73" s="190"/>
      <c r="M73" s="190"/>
      <c r="N73" s="190"/>
    </row>
    <row r="74" spans="1:15" ht="14.25" customHeight="1" x14ac:dyDescent="0.25">
      <c r="A74" s="98"/>
      <c r="B74" s="171"/>
      <c r="C74" s="171"/>
      <c r="D74" s="171"/>
      <c r="E74" s="171"/>
      <c r="F74" s="171"/>
      <c r="G74" s="141"/>
      <c r="H74" s="171"/>
      <c r="I74" s="190"/>
      <c r="J74" s="171"/>
      <c r="K74" s="190"/>
      <c r="L74" s="190"/>
      <c r="M74" s="190"/>
      <c r="N74" s="190"/>
    </row>
    <row r="75" spans="1:15" ht="14.25" customHeight="1" x14ac:dyDescent="0.25">
      <c r="A75" s="98"/>
      <c r="B75" s="171"/>
      <c r="C75" s="171"/>
      <c r="D75" s="171"/>
      <c r="E75" s="171"/>
      <c r="F75" s="171"/>
      <c r="G75" s="141"/>
      <c r="H75" s="171"/>
      <c r="I75" s="190"/>
      <c r="J75" s="171"/>
      <c r="K75" s="190"/>
      <c r="L75" s="190"/>
      <c r="M75" s="190"/>
      <c r="N75" s="190"/>
    </row>
    <row r="76" spans="1:15" ht="14.25" customHeight="1" x14ac:dyDescent="0.2">
      <c r="A76" s="53"/>
    </row>
    <row r="77" spans="1:15" ht="18" x14ac:dyDescent="0.25">
      <c r="A77" s="98" t="s">
        <v>4643</v>
      </c>
    </row>
    <row r="78" spans="1:15" x14ac:dyDescent="0.2">
      <c r="A78" s="650" t="s">
        <v>4684</v>
      </c>
    </row>
    <row r="79" spans="1:15" ht="15" x14ac:dyDescent="0.25">
      <c r="A79" s="58" t="str">
        <f>IF('Development Team'!D154="","None Listed on Development Team Tab",'Development Team'!D154)</f>
        <v>None Listed on Development Team Tab</v>
      </c>
    </row>
    <row r="80" spans="1:15" x14ac:dyDescent="0.2">
      <c r="A80" s="1125" t="s">
        <v>4683</v>
      </c>
      <c r="B80" s="1125"/>
      <c r="C80" s="1125"/>
      <c r="D80" s="1125"/>
      <c r="E80" s="1125"/>
      <c r="F80" s="1125"/>
      <c r="G80" s="1125"/>
      <c r="H80" s="1125"/>
      <c r="I80" s="1125"/>
      <c r="J80" s="1125"/>
      <c r="K80" s="1125"/>
      <c r="L80" s="59"/>
      <c r="M80" s="59"/>
      <c r="N80" s="59"/>
    </row>
    <row r="81" spans="1:15" ht="14.25" customHeight="1" x14ac:dyDescent="0.25">
      <c r="A81" s="6" t="s">
        <v>3765</v>
      </c>
    </row>
    <row r="82" spans="1:15" ht="14.25" customHeight="1" x14ac:dyDescent="0.25">
      <c r="A82" s="56"/>
      <c r="B82" s="5" t="s">
        <v>3767</v>
      </c>
      <c r="D82" s="164"/>
      <c r="F82" s="5" t="str">
        <f>IF(D82="Yes","Describe:","")</f>
        <v/>
      </c>
      <c r="G82" s="1219"/>
      <c r="H82" s="1219"/>
      <c r="I82" s="1219"/>
      <c r="J82" s="1219"/>
      <c r="K82" s="1219"/>
    </row>
    <row r="83" spans="1:15" ht="14.25" customHeight="1" x14ac:dyDescent="0.25">
      <c r="A83" s="56"/>
      <c r="B83" s="5" t="s">
        <v>5006</v>
      </c>
      <c r="D83" s="164"/>
      <c r="G83" s="414"/>
      <c r="H83" s="414"/>
      <c r="I83" s="414"/>
      <c r="J83" s="414"/>
      <c r="K83" s="414"/>
    </row>
    <row r="84" spans="1:15" ht="14.25" customHeight="1" x14ac:dyDescent="0.25">
      <c r="A84" s="56"/>
      <c r="B84" s="5" t="s">
        <v>5007</v>
      </c>
      <c r="D84" s="164"/>
      <c r="G84" s="414"/>
      <c r="H84" s="414"/>
      <c r="I84" s="414"/>
      <c r="J84" s="414"/>
      <c r="K84" s="414"/>
    </row>
    <row r="85" spans="1:15" ht="14.25" customHeight="1" x14ac:dyDescent="0.25">
      <c r="A85" s="56"/>
    </row>
    <row r="86" spans="1:15" s="196" customFormat="1" ht="45" x14ac:dyDescent="0.2">
      <c r="A86" s="21"/>
      <c r="B86" s="57" t="s">
        <v>3766</v>
      </c>
      <c r="C86" s="57" t="s">
        <v>3758</v>
      </c>
      <c r="D86" s="57" t="s">
        <v>3759</v>
      </c>
      <c r="E86" s="57" t="s">
        <v>3062</v>
      </c>
      <c r="F86" s="57" t="s">
        <v>11</v>
      </c>
      <c r="G86" s="57" t="s">
        <v>3063</v>
      </c>
      <c r="H86" s="57" t="s">
        <v>3760</v>
      </c>
      <c r="I86" s="57" t="s">
        <v>3768</v>
      </c>
      <c r="J86" s="57" t="s">
        <v>3110</v>
      </c>
      <c r="K86" s="57" t="s">
        <v>3106</v>
      </c>
      <c r="L86" s="57" t="s">
        <v>3761</v>
      </c>
      <c r="M86" s="57" t="s">
        <v>3120</v>
      </c>
      <c r="N86" s="57" t="s">
        <v>3762</v>
      </c>
      <c r="O86" s="57" t="s">
        <v>3763</v>
      </c>
    </row>
    <row r="87" spans="1:15" ht="14.25" customHeight="1" x14ac:dyDescent="0.2">
      <c r="B87" s="171"/>
      <c r="C87" s="171"/>
      <c r="D87" s="171"/>
      <c r="E87" s="171"/>
      <c r="F87" s="171"/>
      <c r="G87" s="171"/>
      <c r="H87" s="171"/>
      <c r="I87" s="171"/>
      <c r="J87" s="190"/>
      <c r="K87" s="171"/>
      <c r="L87" s="190"/>
      <c r="M87" s="190"/>
      <c r="N87" s="190"/>
      <c r="O87" s="190"/>
    </row>
    <row r="88" spans="1:15" ht="14.25" customHeight="1" x14ac:dyDescent="0.2">
      <c r="B88" s="171"/>
      <c r="C88" s="171"/>
      <c r="D88" s="171"/>
      <c r="E88" s="171"/>
      <c r="F88" s="171"/>
      <c r="G88" s="171"/>
      <c r="H88" s="171"/>
      <c r="I88" s="171"/>
      <c r="J88" s="190"/>
      <c r="K88" s="171"/>
      <c r="L88" s="190"/>
      <c r="M88" s="190"/>
      <c r="N88" s="190"/>
      <c r="O88" s="190"/>
    </row>
    <row r="89" spans="1:15" ht="14.25" customHeight="1" x14ac:dyDescent="0.2">
      <c r="B89" s="171"/>
      <c r="C89" s="171"/>
      <c r="D89" s="171"/>
      <c r="E89" s="171"/>
      <c r="F89" s="171"/>
      <c r="G89" s="171"/>
      <c r="H89" s="171"/>
      <c r="I89" s="171"/>
      <c r="J89" s="190"/>
      <c r="K89" s="171"/>
      <c r="L89" s="190"/>
      <c r="M89" s="190"/>
      <c r="N89" s="190"/>
      <c r="O89" s="190"/>
    </row>
    <row r="90" spans="1:15" ht="14.25" customHeight="1" x14ac:dyDescent="0.2">
      <c r="B90" s="171"/>
      <c r="C90" s="171"/>
      <c r="D90" s="171"/>
      <c r="E90" s="171"/>
      <c r="F90" s="171"/>
      <c r="G90" s="171"/>
      <c r="H90" s="171"/>
      <c r="I90" s="171"/>
      <c r="J90" s="190"/>
      <c r="K90" s="171"/>
      <c r="L90" s="190"/>
      <c r="M90" s="190"/>
      <c r="N90" s="190"/>
      <c r="O90" s="190"/>
    </row>
    <row r="91" spans="1:15" ht="14.25" customHeight="1" x14ac:dyDescent="0.2">
      <c r="B91" s="171"/>
      <c r="C91" s="171"/>
      <c r="D91" s="171"/>
      <c r="E91" s="171"/>
      <c r="F91" s="171"/>
      <c r="G91" s="171"/>
      <c r="H91" s="171"/>
      <c r="I91" s="171"/>
      <c r="J91" s="190"/>
      <c r="K91" s="171"/>
      <c r="L91" s="190"/>
      <c r="M91" s="190"/>
      <c r="N91" s="190"/>
      <c r="O91" s="190"/>
    </row>
    <row r="93" spans="1:15" ht="14.25" customHeight="1" x14ac:dyDescent="0.2">
      <c r="A93" s="191"/>
      <c r="B93" s="191"/>
      <c r="C93" s="191"/>
      <c r="D93" s="191"/>
      <c r="E93" s="191"/>
      <c r="F93" s="191"/>
      <c r="G93" s="191"/>
      <c r="H93" s="191"/>
      <c r="I93" s="191"/>
      <c r="J93" s="191"/>
      <c r="K93" s="191"/>
      <c r="L93" s="191"/>
    </row>
    <row r="94" spans="1:15" ht="31.5" customHeight="1" x14ac:dyDescent="0.2">
      <c r="A94" s="191"/>
      <c r="B94" s="191"/>
      <c r="C94" s="191"/>
      <c r="D94" s="191"/>
      <c r="E94" s="191"/>
      <c r="F94" s="191"/>
      <c r="G94" s="191"/>
      <c r="H94" s="191"/>
      <c r="I94" s="191"/>
      <c r="J94" s="191"/>
      <c r="K94" s="191"/>
      <c r="L94" s="191"/>
      <c r="M94" s="26"/>
      <c r="N94" s="26"/>
    </row>
    <row r="96" spans="1:15" ht="34.5" customHeight="1" x14ac:dyDescent="0.2">
      <c r="A96" s="191"/>
      <c r="B96" s="191"/>
      <c r="C96" s="191"/>
      <c r="D96" s="191"/>
      <c r="E96" s="191"/>
      <c r="F96" s="191"/>
      <c r="G96" s="191"/>
      <c r="H96" s="191"/>
      <c r="I96" s="191"/>
      <c r="J96" s="191"/>
      <c r="K96" s="191"/>
      <c r="L96" s="191"/>
    </row>
    <row r="97" spans="1:12" ht="14.25" customHeight="1" x14ac:dyDescent="0.2">
      <c r="A97" s="191"/>
      <c r="B97" s="191"/>
      <c r="C97" s="191"/>
      <c r="D97" s="191"/>
      <c r="E97" s="191"/>
      <c r="F97" s="191"/>
      <c r="G97" s="191"/>
      <c r="H97" s="191"/>
      <c r="I97" s="191"/>
      <c r="J97" s="191"/>
      <c r="K97" s="191"/>
      <c r="L97" s="191"/>
    </row>
    <row r="98" spans="1:12" ht="14.25" customHeight="1" x14ac:dyDescent="0.2">
      <c r="A98" s="191"/>
      <c r="B98" s="191"/>
      <c r="C98" s="191"/>
      <c r="D98" s="191"/>
      <c r="E98" s="191"/>
      <c r="F98" s="191"/>
      <c r="G98" s="191"/>
      <c r="H98" s="191"/>
      <c r="I98" s="191"/>
      <c r="J98" s="191"/>
      <c r="K98" s="191"/>
      <c r="L98" s="191"/>
    </row>
    <row r="99" spans="1:12" ht="14.25" customHeight="1" x14ac:dyDescent="0.2">
      <c r="A99" s="191"/>
      <c r="B99" s="191"/>
      <c r="C99" s="191"/>
      <c r="D99" s="191"/>
      <c r="E99" s="191"/>
      <c r="F99" s="191"/>
      <c r="G99" s="191"/>
      <c r="H99" s="191"/>
      <c r="I99" s="191"/>
      <c r="J99" s="191"/>
      <c r="K99" s="191"/>
      <c r="L99" s="191"/>
    </row>
    <row r="100" spans="1:12" ht="14.25" customHeight="1" x14ac:dyDescent="0.2">
      <c r="A100" s="191"/>
      <c r="B100" s="191"/>
      <c r="C100" s="191"/>
      <c r="D100" s="191"/>
      <c r="E100" s="191"/>
      <c r="F100" s="191"/>
      <c r="G100" s="191"/>
      <c r="H100" s="191"/>
      <c r="I100" s="191"/>
      <c r="J100" s="191"/>
      <c r="K100" s="191"/>
      <c r="L100" s="191"/>
    </row>
    <row r="101" spans="1:12" ht="14.25" customHeight="1" x14ac:dyDescent="0.2">
      <c r="A101" s="191"/>
      <c r="B101" s="191"/>
      <c r="C101" s="191"/>
      <c r="D101" s="191"/>
      <c r="E101" s="191"/>
      <c r="F101" s="191"/>
      <c r="G101" s="191"/>
      <c r="H101" s="191"/>
      <c r="I101" s="191"/>
      <c r="J101" s="191"/>
      <c r="K101" s="191"/>
      <c r="L101" s="191"/>
    </row>
    <row r="102" spans="1:12" ht="14.25" customHeight="1" x14ac:dyDescent="0.2">
      <c r="A102" s="191"/>
      <c r="B102" s="191"/>
      <c r="C102" s="191"/>
      <c r="D102" s="191"/>
      <c r="E102" s="191"/>
      <c r="F102" s="191"/>
      <c r="G102" s="191"/>
      <c r="H102" s="191"/>
      <c r="I102" s="191"/>
      <c r="J102" s="191"/>
      <c r="K102" s="191"/>
      <c r="L102" s="191"/>
    </row>
    <row r="103" spans="1:12" ht="14.25" customHeight="1" x14ac:dyDescent="0.2">
      <c r="A103" s="191"/>
      <c r="B103" s="191"/>
      <c r="C103" s="191"/>
      <c r="D103" s="191"/>
      <c r="E103" s="191"/>
      <c r="F103" s="191"/>
      <c r="G103" s="191"/>
      <c r="H103" s="191"/>
      <c r="I103" s="191"/>
      <c r="J103" s="191"/>
      <c r="K103" s="191"/>
      <c r="L103" s="191"/>
    </row>
    <row r="104" spans="1:12" ht="14.25" customHeight="1" x14ac:dyDescent="0.2">
      <c r="A104" s="191"/>
      <c r="B104" s="191"/>
      <c r="C104" s="191"/>
      <c r="D104" s="191"/>
      <c r="E104" s="191"/>
      <c r="F104" s="191"/>
      <c r="G104" s="191"/>
      <c r="H104" s="191"/>
      <c r="I104" s="191"/>
      <c r="J104" s="191"/>
      <c r="K104" s="191"/>
      <c r="L104" s="191"/>
    </row>
    <row r="105" spans="1:12" ht="14.25" customHeight="1" x14ac:dyDescent="0.2">
      <c r="A105" s="191"/>
      <c r="B105" s="191"/>
      <c r="C105" s="191"/>
      <c r="D105" s="191"/>
      <c r="E105" s="191"/>
      <c r="F105" s="191"/>
      <c r="G105" s="191"/>
      <c r="H105" s="191"/>
      <c r="I105" s="191"/>
      <c r="J105" s="191"/>
      <c r="K105" s="191"/>
      <c r="L105" s="191"/>
    </row>
    <row r="106" spans="1:12" ht="14.25" customHeight="1" x14ac:dyDescent="0.2">
      <c r="A106" s="191"/>
      <c r="B106" s="191"/>
      <c r="C106" s="191"/>
      <c r="D106" s="191"/>
      <c r="E106" s="191"/>
      <c r="F106" s="191"/>
      <c r="G106" s="191"/>
      <c r="H106" s="191"/>
      <c r="I106" s="191"/>
      <c r="J106" s="191"/>
      <c r="K106" s="191"/>
      <c r="L106" s="191"/>
    </row>
    <row r="107" spans="1:12" ht="14.25" customHeight="1" x14ac:dyDescent="0.2">
      <c r="A107" s="191"/>
      <c r="B107" s="191"/>
      <c r="C107" s="191"/>
      <c r="D107" s="191"/>
      <c r="E107" s="191"/>
      <c r="F107" s="191"/>
      <c r="G107" s="191"/>
      <c r="H107" s="191"/>
      <c r="I107" s="191"/>
      <c r="J107" s="191"/>
      <c r="K107" s="191"/>
      <c r="L107" s="191"/>
    </row>
    <row r="108" spans="1:12" ht="14.25" customHeight="1" x14ac:dyDescent="0.2">
      <c r="A108" s="191"/>
      <c r="B108" s="191"/>
      <c r="C108" s="191"/>
      <c r="D108" s="191"/>
      <c r="E108" s="191"/>
      <c r="F108" s="191"/>
      <c r="G108" s="191"/>
      <c r="H108" s="191"/>
      <c r="I108" s="191"/>
      <c r="J108" s="191"/>
      <c r="K108" s="191"/>
      <c r="L108" s="191"/>
    </row>
    <row r="109" spans="1:12" ht="14.25" customHeight="1" x14ac:dyDescent="0.2">
      <c r="A109" s="191"/>
      <c r="B109" s="191"/>
      <c r="C109" s="191"/>
      <c r="D109" s="191"/>
      <c r="E109" s="191"/>
      <c r="F109" s="191"/>
      <c r="G109" s="191"/>
      <c r="H109" s="191"/>
      <c r="I109" s="191"/>
      <c r="J109" s="191"/>
      <c r="K109" s="191"/>
      <c r="L109" s="191"/>
    </row>
    <row r="110" spans="1:12" ht="14.25" customHeight="1" x14ac:dyDescent="0.2">
      <c r="A110" s="191"/>
      <c r="B110" s="191"/>
      <c r="C110" s="191"/>
      <c r="D110" s="191"/>
      <c r="E110" s="191"/>
      <c r="F110" s="191"/>
      <c r="G110" s="191"/>
      <c r="H110" s="191"/>
      <c r="I110" s="191"/>
      <c r="J110" s="191"/>
      <c r="K110" s="191"/>
      <c r="L110" s="191"/>
    </row>
    <row r="111" spans="1:12" ht="14.25" customHeight="1" x14ac:dyDescent="0.2">
      <c r="A111" s="191"/>
      <c r="B111" s="191"/>
      <c r="C111" s="191"/>
      <c r="D111" s="191"/>
      <c r="E111" s="191"/>
      <c r="F111" s="191"/>
      <c r="G111" s="191"/>
      <c r="H111" s="191"/>
      <c r="I111" s="191"/>
      <c r="J111" s="191"/>
      <c r="K111" s="191"/>
      <c r="L111" s="191"/>
    </row>
    <row r="113" spans="1:12" ht="14.25" customHeight="1" x14ac:dyDescent="0.2">
      <c r="A113" s="191"/>
      <c r="B113" s="191"/>
      <c r="C113" s="191"/>
      <c r="D113" s="191"/>
      <c r="E113" s="191"/>
      <c r="F113" s="191"/>
      <c r="G113" s="191"/>
      <c r="H113" s="191"/>
      <c r="I113" s="191"/>
      <c r="J113" s="191"/>
      <c r="K113" s="191"/>
      <c r="L113" s="191"/>
    </row>
    <row r="114" spans="1:12" ht="14.25" customHeight="1" x14ac:dyDescent="0.2">
      <c r="A114" s="191"/>
      <c r="B114" s="191"/>
      <c r="C114" s="191"/>
      <c r="D114" s="191"/>
      <c r="E114" s="191"/>
      <c r="F114" s="191"/>
      <c r="G114" s="191"/>
      <c r="H114" s="191"/>
      <c r="I114" s="191"/>
      <c r="J114" s="191"/>
      <c r="K114" s="191"/>
      <c r="L114" s="191"/>
    </row>
    <row r="115" spans="1:12" ht="14.25" customHeight="1" x14ac:dyDescent="0.2">
      <c r="A115" s="191"/>
      <c r="B115" s="191"/>
      <c r="C115" s="191"/>
      <c r="D115" s="191"/>
      <c r="E115" s="191"/>
      <c r="F115" s="191"/>
      <c r="G115" s="191"/>
      <c r="H115" s="191"/>
      <c r="I115" s="191"/>
      <c r="J115" s="191"/>
      <c r="K115" s="191"/>
      <c r="L115" s="191"/>
    </row>
    <row r="116" spans="1:12" ht="33.75" customHeight="1" x14ac:dyDescent="0.2">
      <c r="A116" s="191"/>
      <c r="B116" s="191"/>
      <c r="C116" s="191"/>
      <c r="D116" s="191"/>
      <c r="E116" s="191"/>
      <c r="F116" s="191"/>
      <c r="G116" s="191"/>
      <c r="H116" s="191"/>
      <c r="I116" s="191"/>
      <c r="J116" s="191"/>
      <c r="K116" s="191"/>
      <c r="L116" s="191"/>
    </row>
    <row r="117" spans="1:12" ht="60.75" customHeight="1" x14ac:dyDescent="0.2">
      <c r="A117" s="191"/>
      <c r="B117" s="191"/>
      <c r="C117" s="191"/>
      <c r="D117" s="191"/>
      <c r="E117" s="191"/>
      <c r="F117" s="191"/>
      <c r="G117" s="191"/>
      <c r="H117" s="191"/>
      <c r="I117" s="191"/>
      <c r="J117" s="191"/>
      <c r="K117" s="191"/>
      <c r="L117" s="191"/>
    </row>
    <row r="118" spans="1:12" ht="14.25" customHeight="1" x14ac:dyDescent="0.2">
      <c r="A118" s="191"/>
      <c r="B118" s="191"/>
      <c r="C118" s="191"/>
      <c r="D118" s="191"/>
      <c r="E118" s="191"/>
      <c r="F118" s="191"/>
      <c r="G118" s="191"/>
      <c r="H118" s="191"/>
      <c r="I118" s="191"/>
      <c r="J118" s="191"/>
      <c r="K118" s="191"/>
      <c r="L118" s="191"/>
    </row>
    <row r="119" spans="1:12" ht="43.5" customHeight="1" x14ac:dyDescent="0.2">
      <c r="A119" s="191"/>
      <c r="B119" s="191"/>
      <c r="C119" s="191"/>
      <c r="D119" s="191"/>
      <c r="E119" s="191"/>
      <c r="F119" s="191"/>
      <c r="G119" s="191"/>
      <c r="H119" s="191"/>
      <c r="I119" s="191"/>
      <c r="J119" s="191"/>
      <c r="K119" s="191"/>
      <c r="L119" s="191"/>
    </row>
    <row r="120" spans="1:12" ht="60.75" customHeight="1" x14ac:dyDescent="0.2">
      <c r="A120" s="191"/>
      <c r="B120" s="191"/>
      <c r="C120" s="191"/>
      <c r="D120" s="191"/>
      <c r="E120" s="191"/>
      <c r="F120" s="191"/>
      <c r="G120" s="191"/>
      <c r="H120" s="191"/>
      <c r="I120" s="191"/>
      <c r="J120" s="191"/>
      <c r="K120" s="191"/>
      <c r="L120" s="191"/>
    </row>
    <row r="121" spans="1:12" ht="14.25" customHeight="1" x14ac:dyDescent="0.2">
      <c r="A121" s="191"/>
      <c r="B121" s="191"/>
      <c r="C121" s="191"/>
      <c r="D121" s="191"/>
      <c r="E121" s="191"/>
      <c r="F121" s="191"/>
      <c r="G121" s="191"/>
      <c r="H121" s="191"/>
      <c r="I121" s="191"/>
      <c r="J121" s="191"/>
      <c r="K121" s="191"/>
      <c r="L121" s="191"/>
    </row>
    <row r="122" spans="1:12" ht="31.5" customHeight="1" x14ac:dyDescent="0.2">
      <c r="A122" s="191"/>
      <c r="B122" s="191"/>
      <c r="C122" s="191"/>
      <c r="D122" s="191"/>
      <c r="E122" s="191"/>
      <c r="F122" s="191"/>
      <c r="G122" s="191"/>
      <c r="H122" s="191"/>
      <c r="I122" s="191"/>
      <c r="J122" s="191"/>
      <c r="K122" s="191"/>
      <c r="L122" s="191"/>
    </row>
    <row r="123" spans="1:12" ht="60.75" customHeight="1" x14ac:dyDescent="0.2">
      <c r="A123" s="191"/>
      <c r="B123" s="191"/>
      <c r="C123" s="191"/>
      <c r="D123" s="191"/>
      <c r="E123" s="191"/>
      <c r="F123" s="191"/>
      <c r="G123" s="191"/>
      <c r="H123" s="191"/>
      <c r="I123" s="191"/>
      <c r="J123" s="191"/>
      <c r="K123" s="191"/>
      <c r="L123" s="191"/>
    </row>
    <row r="124" spans="1:12" ht="14.25" customHeight="1" x14ac:dyDescent="0.2">
      <c r="A124" s="191"/>
      <c r="B124" s="191"/>
      <c r="C124" s="191"/>
      <c r="D124" s="191"/>
      <c r="E124" s="191"/>
      <c r="F124" s="191"/>
      <c r="G124" s="191"/>
      <c r="H124" s="191"/>
      <c r="I124" s="191"/>
      <c r="J124" s="191"/>
      <c r="K124" s="191"/>
      <c r="L124" s="191"/>
    </row>
    <row r="125" spans="1:12" ht="22.5" customHeight="1" x14ac:dyDescent="0.2">
      <c r="A125" s="191"/>
      <c r="B125" s="191"/>
      <c r="C125" s="191"/>
      <c r="D125" s="191"/>
      <c r="E125" s="191"/>
      <c r="F125" s="191"/>
      <c r="G125" s="191"/>
      <c r="H125" s="191"/>
      <c r="I125" s="191"/>
      <c r="J125" s="191"/>
      <c r="K125" s="191"/>
      <c r="L125" s="191"/>
    </row>
    <row r="126" spans="1:12" ht="60.75" customHeight="1" x14ac:dyDescent="0.2">
      <c r="A126" s="191"/>
      <c r="B126" s="191"/>
      <c r="C126" s="191"/>
      <c r="D126" s="191"/>
      <c r="E126" s="191"/>
      <c r="F126" s="191"/>
      <c r="G126" s="191"/>
      <c r="H126" s="191"/>
      <c r="I126" s="191"/>
      <c r="J126" s="191"/>
      <c r="K126" s="191"/>
      <c r="L126" s="191"/>
    </row>
    <row r="128" spans="1:12" ht="21.75" customHeight="1" x14ac:dyDescent="0.2">
      <c r="A128" s="191"/>
      <c r="B128" s="191"/>
      <c r="C128" s="191"/>
      <c r="D128" s="191"/>
      <c r="E128" s="191"/>
      <c r="F128" s="191"/>
      <c r="G128" s="191"/>
      <c r="H128" s="191"/>
      <c r="I128" s="191"/>
      <c r="J128" s="191"/>
      <c r="K128" s="191"/>
      <c r="L128" s="191"/>
    </row>
    <row r="129" spans="1:12" ht="60.75" customHeight="1" x14ac:dyDescent="0.2">
      <c r="A129" s="191"/>
      <c r="B129" s="191"/>
      <c r="C129" s="191"/>
      <c r="D129" s="191"/>
      <c r="E129" s="191"/>
      <c r="F129" s="191"/>
      <c r="G129" s="191"/>
      <c r="H129" s="191"/>
      <c r="I129" s="191"/>
      <c r="J129" s="191"/>
      <c r="K129" s="191"/>
      <c r="L129" s="191"/>
    </row>
    <row r="130" spans="1:12" ht="14.25" customHeight="1" x14ac:dyDescent="0.2">
      <c r="A130" s="191"/>
      <c r="B130" s="191"/>
      <c r="C130" s="191"/>
      <c r="D130" s="191"/>
      <c r="E130" s="191"/>
      <c r="F130" s="191"/>
      <c r="G130" s="191"/>
      <c r="H130" s="191"/>
      <c r="I130" s="191"/>
      <c r="J130" s="191"/>
      <c r="K130" s="191"/>
      <c r="L130" s="191"/>
    </row>
    <row r="131" spans="1:12" ht="18.75" customHeight="1" x14ac:dyDescent="0.2">
      <c r="A131" s="191"/>
      <c r="B131" s="191"/>
      <c r="C131" s="191"/>
      <c r="D131" s="191"/>
      <c r="E131" s="191"/>
      <c r="F131" s="191"/>
      <c r="G131" s="191"/>
      <c r="H131" s="191"/>
      <c r="I131" s="191"/>
      <c r="J131" s="191"/>
      <c r="K131" s="191"/>
      <c r="L131" s="191"/>
    </row>
    <row r="132" spans="1:12" ht="60.75" customHeight="1" x14ac:dyDescent="0.2">
      <c r="A132" s="191"/>
      <c r="B132" s="191"/>
      <c r="C132" s="191"/>
      <c r="D132" s="191"/>
      <c r="E132" s="191"/>
      <c r="F132" s="191"/>
      <c r="G132" s="191"/>
      <c r="H132" s="191"/>
      <c r="I132" s="191"/>
      <c r="J132" s="191"/>
      <c r="K132" s="191"/>
      <c r="L132" s="191"/>
    </row>
    <row r="133" spans="1:12" ht="14.25" customHeight="1" x14ac:dyDescent="0.2">
      <c r="A133" s="191"/>
      <c r="B133" s="191"/>
      <c r="C133" s="191"/>
      <c r="D133" s="191"/>
      <c r="E133" s="191"/>
      <c r="F133" s="191"/>
      <c r="G133" s="191"/>
      <c r="H133" s="191"/>
      <c r="I133" s="191"/>
      <c r="J133" s="191"/>
      <c r="K133" s="191"/>
      <c r="L133" s="191"/>
    </row>
    <row r="134" spans="1:12" ht="33" customHeight="1" x14ac:dyDescent="0.2">
      <c r="A134" s="191"/>
      <c r="B134" s="191"/>
      <c r="C134" s="191"/>
      <c r="D134" s="191"/>
      <c r="E134" s="191"/>
      <c r="F134" s="191"/>
      <c r="G134" s="191"/>
      <c r="H134" s="191"/>
      <c r="I134" s="191"/>
      <c r="J134" s="191"/>
      <c r="K134" s="191"/>
      <c r="L134" s="191"/>
    </row>
    <row r="135" spans="1:12" ht="60.75" customHeight="1" x14ac:dyDescent="0.2">
      <c r="A135" s="191"/>
      <c r="B135" s="191"/>
      <c r="C135" s="191"/>
      <c r="D135" s="191"/>
      <c r="E135" s="191"/>
      <c r="F135" s="191"/>
      <c r="G135" s="191"/>
      <c r="H135" s="191"/>
      <c r="I135" s="191"/>
      <c r="J135" s="191"/>
      <c r="K135" s="191"/>
      <c r="L135" s="191"/>
    </row>
    <row r="136" spans="1:12" ht="14.25" customHeight="1" x14ac:dyDescent="0.2">
      <c r="A136" s="191"/>
      <c r="B136" s="191"/>
      <c r="C136" s="191"/>
      <c r="D136" s="191"/>
      <c r="E136" s="191"/>
      <c r="F136" s="191"/>
      <c r="G136" s="191"/>
      <c r="H136" s="191"/>
      <c r="I136" s="191"/>
      <c r="J136" s="191"/>
      <c r="K136" s="191"/>
      <c r="L136" s="191"/>
    </row>
  </sheetData>
  <sheetProtection algorithmName="SHA-512" hashValue="PD7jjTtgCb3fuE+oAAue8ZZ65132UwCl95kIn+UQKpjPeqG1lMkRs5ui4x3Y4BMTMMt6BYYhnpC7iYIJivACWQ==" saltValue="CFRSrawq1JLL9kXKFj1aiA==" spinCount="100000" sheet="1" objects="1" scenarios="1"/>
  <mergeCells count="12">
    <mergeCell ref="A4:N4"/>
    <mergeCell ref="A6:K6"/>
    <mergeCell ref="A5:K5"/>
    <mergeCell ref="G82:K82"/>
    <mergeCell ref="G10:K10"/>
    <mergeCell ref="G27:K27"/>
    <mergeCell ref="G40:K40"/>
    <mergeCell ref="G53:K53"/>
    <mergeCell ref="G66:K66"/>
    <mergeCell ref="A80:K80"/>
    <mergeCell ref="B22:K22"/>
    <mergeCell ref="B23:K23"/>
  </mergeCells>
  <conditionalFormatting sqref="F10:F13">
    <cfRule type="expression" dxfId="93" priority="44">
      <formula>$D$10="Yes"</formula>
    </cfRule>
  </conditionalFormatting>
  <conditionalFormatting sqref="G10:K13">
    <cfRule type="expression" dxfId="92" priority="42">
      <formula>$D$10="Yes"</formula>
    </cfRule>
  </conditionalFormatting>
  <conditionalFormatting sqref="F66:F68 F53:F55 F40 F27:F29 F82:F84">
    <cfRule type="expression" dxfId="91" priority="29">
      <formula>$D27="Yes"</formula>
    </cfRule>
  </conditionalFormatting>
  <conditionalFormatting sqref="G27:K29 G40:K40 G53:K55 G66:K68 G82:K84">
    <cfRule type="expression" dxfId="90" priority="27">
      <formula>$D27="Yes"</formula>
    </cfRule>
  </conditionalFormatting>
  <dataValidations count="5">
    <dataValidation type="list" allowBlank="1" showInputMessage="1" showErrorMessage="1" sqref="D40:D42 D53:D55 D66:D68 D82:D84 D27:D29 D10:D13" xr:uid="{00000000-0002-0000-0800-000000000000}">
      <formula1>"Yes,No"</formula1>
    </dataValidation>
    <dataValidation type="list" allowBlank="1" showInputMessage="1" showErrorMessage="1" sqref="I16:I20 I32:I36 I45:I49 I58:I62 I71:I75 J87:J91" xr:uid="{00000000-0002-0000-0800-000001000000}">
      <formula1>"Family,Senior,PSH"</formula1>
    </dataValidation>
    <dataValidation type="list" allowBlank="1" showInputMessage="1" showErrorMessage="1" sqref="K16:K20 K32:K36 K45:K49 K58:K62 K71:K75 L87:L91" xr:uid="{00000000-0002-0000-0800-000002000000}">
      <formula1>"New,Rehab"</formula1>
    </dataValidation>
    <dataValidation type="list" allowBlank="1" showInputMessage="1" showErrorMessage="1" sqref="L16:L20 L32:L36 L45:L49 L58:L62 L71:L75 M87:M91" xr:uid="{00000000-0002-0000-0800-000003000000}">
      <formula1>"MF Apt, SF Rental,SF Own,Other"</formula1>
    </dataValidation>
    <dataValidation type="list" allowBlank="1" showInputMessage="1" showErrorMessage="1" sqref="M16:N20 M32:N36 M45:N49 M58:N62 M71:N75 N87:O91" xr:uid="{00000000-0002-0000-0800-000004000000}">
      <formula1>"HTC,HOME,OHTF,MHA,RD,CDBG,Private,Other"</formula1>
    </dataValidation>
  </dataValidations>
  <pageMargins left="0.7" right="0.7" top="0.75" bottom="0.75" header="0.3" footer="0.3"/>
  <pageSetup scale="34" orientation="portrait" r:id="rId1"/>
  <rowBreaks count="1" manualBreakCount="1">
    <brk id="93"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G44"/>
  <sheetViews>
    <sheetView zoomScale="85" zoomScaleNormal="85" workbookViewId="0">
      <selection activeCell="C9" sqref="C9"/>
    </sheetView>
  </sheetViews>
  <sheetFormatPr defaultColWidth="9" defaultRowHeight="14.25" x14ac:dyDescent="0.2"/>
  <cols>
    <col min="1" max="1" width="9" style="5"/>
    <col min="2" max="2" width="34.25" style="5" customWidth="1"/>
    <col min="3" max="3" width="52.25" style="5" customWidth="1"/>
    <col min="4" max="4" width="18.875" style="5" bestFit="1" customWidth="1"/>
    <col min="5" max="5" width="9" style="5"/>
    <col min="6" max="6" width="28.625" style="5" bestFit="1" customWidth="1"/>
    <col min="7" max="7" width="13.75" style="5" customWidth="1"/>
    <col min="8" max="8" width="9" style="191"/>
    <col min="9" max="9" width="14" style="191" bestFit="1" customWidth="1"/>
    <col min="10" max="16384" width="9" style="191"/>
  </cols>
  <sheetData>
    <row r="1" spans="1:7" ht="54.95" customHeight="1" x14ac:dyDescent="0.2"/>
    <row r="2" spans="1:7" s="192" customFormat="1" ht="22.5" x14ac:dyDescent="0.3">
      <c r="A2" s="3" t="s">
        <v>3954</v>
      </c>
      <c r="B2" s="1"/>
      <c r="C2" s="1"/>
      <c r="D2" s="1"/>
      <c r="E2" s="1"/>
      <c r="F2" s="1"/>
      <c r="G2" s="1"/>
    </row>
    <row r="3" spans="1:7" s="193" customFormat="1" ht="15.75" customHeight="1" x14ac:dyDescent="0.25">
      <c r="A3" s="4" t="s">
        <v>4297</v>
      </c>
      <c r="B3" s="38">
        <f>'Project Details'!C7</f>
        <v>0</v>
      </c>
      <c r="C3" s="38"/>
      <c r="D3" s="2"/>
      <c r="E3" s="2"/>
      <c r="F3" s="2"/>
      <c r="G3" s="2"/>
    </row>
    <row r="4" spans="1:7" ht="15" x14ac:dyDescent="0.2">
      <c r="A4" s="649" t="s">
        <v>4060</v>
      </c>
    </row>
    <row r="6" spans="1:7" s="197" customFormat="1" ht="24.95" customHeight="1" x14ac:dyDescent="0.2">
      <c r="A6" s="740" t="s">
        <v>4000</v>
      </c>
      <c r="B6" s="187"/>
      <c r="C6" s="187"/>
      <c r="D6" s="187"/>
      <c r="E6" s="187"/>
      <c r="F6" s="187"/>
      <c r="G6" s="187"/>
    </row>
    <row r="7" spans="1:7" x14ac:dyDescent="0.2">
      <c r="B7" s="5" t="s">
        <v>3556</v>
      </c>
      <c r="C7" s="10">
        <f>'Project Details'!C22</f>
        <v>0</v>
      </c>
      <c r="F7" s="37" t="s">
        <v>4286</v>
      </c>
      <c r="G7" s="226" t="str">
        <f>IFERROR(C32/'Budget &amp; Costs'!C45,"")</f>
        <v/>
      </c>
    </row>
    <row r="8" spans="1:7" x14ac:dyDescent="0.2">
      <c r="B8" s="5" t="s">
        <v>3939</v>
      </c>
      <c r="C8" s="786">
        <f>IFERROR(VLOOKUP(C7,Data!$J$5:$K$14,2,FALSE),0)</f>
        <v>0</v>
      </c>
      <c r="F8" s="37" t="s">
        <v>4287</v>
      </c>
      <c r="G8" s="226" t="str">
        <f>IFERROR(C32/C9,"")</f>
        <v/>
      </c>
    </row>
    <row r="9" spans="1:7" x14ac:dyDescent="0.2">
      <c r="B9" s="5" t="s">
        <v>3896</v>
      </c>
      <c r="C9" s="10">
        <f>'Budget &amp; Costs'!D50</f>
        <v>0</v>
      </c>
    </row>
    <row r="10" spans="1:7" x14ac:dyDescent="0.2">
      <c r="B10" s="5" t="s">
        <v>5181</v>
      </c>
      <c r="C10" s="441">
        <f>'Budget &amp; Costs'!D330</f>
        <v>0</v>
      </c>
    </row>
    <row r="11" spans="1:7" ht="15" x14ac:dyDescent="0.25">
      <c r="B11" s="5" t="s">
        <v>3938</v>
      </c>
      <c r="C11" s="597">
        <f>IF(C7="Preserved Affordability", (0.3*C10),(C8*C9))</f>
        <v>0</v>
      </c>
      <c r="D11" s="950" t="str">
        <f>IF(C11 &gt; 1750000, "ERROR Greater than $1,750,000", "OK")</f>
        <v>OK</v>
      </c>
    </row>
    <row r="13" spans="1:7" s="197" customFormat="1" ht="24.95" customHeight="1" x14ac:dyDescent="0.2">
      <c r="A13" s="740" t="s">
        <v>4003</v>
      </c>
      <c r="B13" s="187"/>
      <c r="C13" s="187"/>
      <c r="D13" s="187"/>
      <c r="E13" s="187"/>
      <c r="F13" s="187"/>
      <c r="G13" s="187"/>
    </row>
    <row r="14" spans="1:7" ht="18" x14ac:dyDescent="0.25">
      <c r="A14" s="6"/>
      <c r="C14" s="11" t="s">
        <v>3942</v>
      </c>
      <c r="D14" s="11" t="s">
        <v>3941</v>
      </c>
    </row>
    <row r="15" spans="1:7" x14ac:dyDescent="0.2">
      <c r="B15" s="5" t="s">
        <v>4401</v>
      </c>
      <c r="C15" s="234" t="str">
        <f>IF(AND('Budget &amp; Costs'!I60&gt;=0.25,OR('Project Details'!C26="New Affordability")),"Yes","No")</f>
        <v>No</v>
      </c>
      <c r="D15" s="627">
        <f>IF(C15="Yes",75000,0)</f>
        <v>0</v>
      </c>
    </row>
    <row r="16" spans="1:7" x14ac:dyDescent="0.2">
      <c r="B16" s="53" t="s">
        <v>5182</v>
      </c>
      <c r="C16" s="234" t="str">
        <f>IF('Development Team'!D70="Yes", "Yes","No")</f>
        <v>Yes</v>
      </c>
      <c r="D16" s="627">
        <f>IF(C16="Yes",75000,0)</f>
        <v>75000</v>
      </c>
    </row>
    <row r="17" spans="1:6" x14ac:dyDescent="0.2">
      <c r="B17" s="5" t="s">
        <v>3943</v>
      </c>
      <c r="C17" s="188">
        <f>'Project Details'!G30</f>
        <v>0</v>
      </c>
      <c r="D17" s="627">
        <f>IF(OR(C17="Davis Bacon",C17="Ohio Prevailing Wage",C17="Other"),75000,0)</f>
        <v>0</v>
      </c>
      <c r="E17" s="92" t="str">
        <f>IF(D17&gt;0,"**Support docs required**","")</f>
        <v/>
      </c>
    </row>
    <row r="18" spans="1:6" x14ac:dyDescent="0.2">
      <c r="B18" s="5" t="s">
        <v>4402</v>
      </c>
      <c r="C18" s="188" t="str">
        <f>IF('Budget &amp; Costs'!G211&gt;0,"Yes","No")</f>
        <v>No</v>
      </c>
      <c r="D18" s="627">
        <f>IF(C18="Yes",75000,0)</f>
        <v>0</v>
      </c>
    </row>
    <row r="19" spans="1:6" x14ac:dyDescent="0.2">
      <c r="B19" s="5" t="s">
        <v>4403</v>
      </c>
      <c r="C19" s="188" t="str">
        <f>IF('HDL+HDAP+MLP'!D31="Yes","Yes","No")</f>
        <v>No</v>
      </c>
      <c r="D19" s="627">
        <f>IF(C19="Yes",75000,0)</f>
        <v>0</v>
      </c>
    </row>
    <row r="20" spans="1:6" x14ac:dyDescent="0.2">
      <c r="C20"/>
      <c r="D20" s="32">
        <f>SUM(D15:D19)</f>
        <v>75000</v>
      </c>
    </row>
    <row r="22" spans="1:6" ht="15" x14ac:dyDescent="0.25">
      <c r="B22" s="5" t="s">
        <v>3998</v>
      </c>
      <c r="C22" s="32">
        <f>IFERROR(D20+C11,0)</f>
        <v>75000</v>
      </c>
      <c r="D22" s="950"/>
    </row>
    <row r="23" spans="1:6" ht="15" thickBot="1" x14ac:dyDescent="0.25"/>
    <row r="24" spans="1:6" ht="18" x14ac:dyDescent="0.25">
      <c r="A24" s="235" t="s">
        <v>4001</v>
      </c>
      <c r="B24" s="236"/>
      <c r="C24" s="236"/>
      <c r="D24" s="236"/>
      <c r="E24" s="236"/>
      <c r="F24" s="237"/>
    </row>
    <row r="25" spans="1:6" x14ac:dyDescent="0.2">
      <c r="A25" s="238"/>
      <c r="B25" s="239" t="s">
        <v>4288</v>
      </c>
      <c r="C25" s="32">
        <f>'Budget &amp; Costs'!J327-'Budget &amp; Costs'!J305</f>
        <v>0</v>
      </c>
      <c r="D25" s="239"/>
      <c r="E25" s="239"/>
      <c r="F25" s="240"/>
    </row>
    <row r="26" spans="1:6" x14ac:dyDescent="0.2">
      <c r="A26" s="238"/>
      <c r="B26" s="241" t="s">
        <v>4004</v>
      </c>
      <c r="C26" s="226">
        <f>C25*0.2</f>
        <v>0</v>
      </c>
      <c r="D26" s="239"/>
      <c r="E26" s="239"/>
      <c r="F26" s="240"/>
    </row>
    <row r="27" spans="1:6" x14ac:dyDescent="0.2">
      <c r="A27" s="238"/>
      <c r="B27" s="239" t="s">
        <v>4529</v>
      </c>
      <c r="C27" s="32">
        <f>C25*0.05</f>
        <v>0</v>
      </c>
      <c r="D27" s="242" t="s">
        <v>4071</v>
      </c>
      <c r="E27" s="239"/>
      <c r="F27" s="240"/>
    </row>
    <row r="28" spans="1:6" x14ac:dyDescent="0.2">
      <c r="A28" s="238"/>
      <c r="B28" s="239" t="s">
        <v>4072</v>
      </c>
      <c r="C28" s="32">
        <f>C27+C26</f>
        <v>0</v>
      </c>
      <c r="D28" s="239"/>
      <c r="E28" s="239"/>
      <c r="F28" s="240"/>
    </row>
    <row r="29" spans="1:6" ht="15" thickBot="1" x14ac:dyDescent="0.25">
      <c r="A29" s="243"/>
      <c r="B29" s="244"/>
      <c r="C29" s="244"/>
      <c r="D29" s="244"/>
      <c r="E29" s="244"/>
      <c r="F29" s="245"/>
    </row>
    <row r="31" spans="1:6" ht="18" x14ac:dyDescent="0.25">
      <c r="A31" s="6" t="s">
        <v>3999</v>
      </c>
    </row>
    <row r="32" spans="1:6" x14ac:dyDescent="0.2">
      <c r="B32" s="5" t="s">
        <v>3986</v>
      </c>
      <c r="C32" s="226">
        <f>'Budget &amp; Costs'!L305</f>
        <v>0</v>
      </c>
    </row>
    <row r="33" spans="2:4" x14ac:dyDescent="0.2">
      <c r="B33" s="5" t="s">
        <v>4073</v>
      </c>
      <c r="C33" s="226">
        <f>'Budget &amp; Costs'!L306</f>
        <v>0</v>
      </c>
    </row>
    <row r="34" spans="2:4" x14ac:dyDescent="0.2">
      <c r="B34" s="5" t="s">
        <v>3996</v>
      </c>
      <c r="C34" s="226">
        <f>'Budget &amp; Costs'!L307</f>
        <v>0</v>
      </c>
    </row>
    <row r="35" spans="2:4" x14ac:dyDescent="0.2">
      <c r="B35" s="5" t="s">
        <v>3997</v>
      </c>
      <c r="C35" s="226">
        <f>'Budget &amp; Costs'!L308</f>
        <v>0</v>
      </c>
    </row>
    <row r="36" spans="2:4" x14ac:dyDescent="0.2">
      <c r="B36" s="5" t="s">
        <v>3987</v>
      </c>
      <c r="C36" s="226">
        <f>'Budget &amp; Costs'!L309</f>
        <v>0</v>
      </c>
    </row>
    <row r="37" spans="2:4" x14ac:dyDescent="0.2">
      <c r="B37" s="5" t="s">
        <v>4114</v>
      </c>
      <c r="C37" s="226">
        <f>'Budget &amp; Costs'!L312</f>
        <v>0</v>
      </c>
    </row>
    <row r="38" spans="2:4" x14ac:dyDescent="0.2">
      <c r="B38" s="5" t="s">
        <v>4404</v>
      </c>
      <c r="C38" s="226">
        <f>SUM(C32:C37)</f>
        <v>0</v>
      </c>
      <c r="D38" s="92" t="str">
        <f>IF(C38&gt;1750000,"Developer Support Budget Exceeds $1,750,000","")</f>
        <v/>
      </c>
    </row>
    <row r="39" spans="2:4" x14ac:dyDescent="0.2">
      <c r="B39" s="5" t="s">
        <v>4002</v>
      </c>
      <c r="C39" s="232">
        <f>IFERROR(C38/'Budget &amp; Costs'!L327,0)</f>
        <v>0</v>
      </c>
      <c r="D39" s="92" t="str">
        <f>IFERROR(IF(C39&gt;0.2,"Fee Exceeds 20%, Additional Documentation May Be Requested",""),"")</f>
        <v/>
      </c>
    </row>
    <row r="41" spans="2:4" x14ac:dyDescent="0.2">
      <c r="B41" s="5" t="s">
        <v>3944</v>
      </c>
      <c r="C41" s="32">
        <f>C32</f>
        <v>0</v>
      </c>
      <c r="D41" s="92"/>
    </row>
    <row r="42" spans="2:4" x14ac:dyDescent="0.2">
      <c r="B42" s="5" t="s">
        <v>3945</v>
      </c>
      <c r="C42" s="32">
        <f>'Budget &amp; Costs'!G242</f>
        <v>0</v>
      </c>
    </row>
    <row r="43" spans="2:4" x14ac:dyDescent="0.2">
      <c r="B43" s="5" t="s">
        <v>4107</v>
      </c>
      <c r="C43" s="232">
        <f>IFERROR(C42/C22,0)</f>
        <v>0</v>
      </c>
    </row>
    <row r="44" spans="2:4" x14ac:dyDescent="0.2">
      <c r="B44" s="5" t="s">
        <v>4106</v>
      </c>
      <c r="C44" s="232">
        <f>IFERROR(C42/C41,0)</f>
        <v>0</v>
      </c>
    </row>
  </sheetData>
  <sheetProtection algorithmName="SHA-512" hashValue="PWFYlgNu4LvBcyey47jnzLlk+jOkYbLNey5poMeHFfRk5ml2abbtkU7F4q+2mbGe7L/Uy7PWkvh21rmMyUzgjQ==" saltValue="uhJop3gljcZT9+/p2imH3g==" spinCount="100000" sheet="1" objects="1" scenarios="1"/>
  <pageMargins left="0.7" right="0.7" top="0.75" bottom="0.75" header="0.3" footer="0.3"/>
  <pageSetup scale="49" orientation="portrait" r:id="rId1"/>
  <ignoredErrors>
    <ignoredError sqref="D17" formula="1"/>
    <ignoredError sqref="D20 D16 D15" evalError="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1"/>
  <dimension ref="A1:T16"/>
  <sheetViews>
    <sheetView zoomScale="85" zoomScaleNormal="85" workbookViewId="0">
      <selection activeCell="M21" sqref="M21"/>
    </sheetView>
  </sheetViews>
  <sheetFormatPr defaultColWidth="9" defaultRowHeight="14.25" x14ac:dyDescent="0.2"/>
  <cols>
    <col min="1" max="1" width="9" style="5" customWidth="1"/>
    <col min="2" max="10" width="9" style="5"/>
    <col min="11" max="11" width="9" style="5" customWidth="1"/>
    <col min="12" max="12" width="9" style="5"/>
    <col min="13" max="13" width="9" style="5" customWidth="1"/>
    <col min="14" max="20" width="9" style="5"/>
    <col min="21" max="16384" width="9" style="191"/>
  </cols>
  <sheetData>
    <row r="1" spans="1:20" ht="54.95" customHeight="1" x14ac:dyDescent="0.2"/>
    <row r="2" spans="1:20" s="192" customFormat="1" ht="22.5" x14ac:dyDescent="0.3">
      <c r="A2" s="3" t="s">
        <v>3653</v>
      </c>
      <c r="B2" s="1"/>
      <c r="C2" s="1"/>
      <c r="D2" s="1"/>
      <c r="E2" s="1"/>
      <c r="F2" s="1"/>
      <c r="G2" s="1"/>
      <c r="H2" s="1"/>
      <c r="I2" s="1"/>
      <c r="J2" s="1"/>
      <c r="K2" s="1"/>
      <c r="L2" s="1"/>
      <c r="M2" s="1"/>
      <c r="N2" s="1"/>
      <c r="O2" s="1"/>
      <c r="P2" s="1"/>
      <c r="Q2" s="1"/>
      <c r="R2" s="1"/>
      <c r="S2" s="1"/>
      <c r="T2" s="1"/>
    </row>
    <row r="3" spans="1:20" s="193" customFormat="1" ht="15.75" x14ac:dyDescent="0.25">
      <c r="A3" s="4" t="s">
        <v>4297</v>
      </c>
      <c r="B3" s="38">
        <f>'Project Details'!C7</f>
        <v>0</v>
      </c>
      <c r="C3" s="38"/>
      <c r="D3" s="39"/>
      <c r="E3" s="2"/>
      <c r="F3" s="2"/>
      <c r="G3" s="2"/>
      <c r="H3" s="2"/>
      <c r="I3" s="2"/>
      <c r="J3" s="2"/>
      <c r="K3" s="2"/>
      <c r="L3" s="2"/>
      <c r="M3" s="2"/>
      <c r="N3" s="2"/>
      <c r="O3" s="2"/>
      <c r="P3" s="2"/>
      <c r="Q3" s="2"/>
      <c r="R3" s="2"/>
      <c r="S3" s="2"/>
      <c r="T3" s="2"/>
    </row>
    <row r="4" spans="1:20" ht="15.75" x14ac:dyDescent="0.25">
      <c r="A4" s="27"/>
      <c r="D4" s="56"/>
    </row>
    <row r="5" spans="1:20" x14ac:dyDescent="0.2">
      <c r="A5" s="1125" t="s">
        <v>3654</v>
      </c>
      <c r="B5" s="1125"/>
      <c r="C5" s="1125"/>
      <c r="D5" s="1125"/>
      <c r="E5" s="1125"/>
      <c r="F5" s="1125"/>
      <c r="G5" s="1125"/>
      <c r="H5" s="1125"/>
      <c r="I5" s="1125"/>
      <c r="J5" s="1125"/>
      <c r="K5" s="1125"/>
      <c r="L5" s="1125"/>
      <c r="M5" s="1125"/>
      <c r="N5" s="1125"/>
      <c r="O5" s="1125"/>
      <c r="P5" s="1125"/>
      <c r="Q5" s="1125"/>
      <c r="R5" s="1125"/>
      <c r="S5" s="1125"/>
    </row>
    <row r="6" spans="1:20" ht="14.25" customHeight="1" x14ac:dyDescent="0.2">
      <c r="A6" s="48"/>
      <c r="B6" s="1221"/>
      <c r="C6" s="1221"/>
      <c r="D6" s="1221"/>
      <c r="E6" s="1221"/>
      <c r="F6" s="1221"/>
      <c r="G6" s="1221"/>
      <c r="H6" s="1221"/>
      <c r="I6" s="1221"/>
      <c r="J6" s="1221"/>
      <c r="K6" s="1221"/>
      <c r="L6" s="1221"/>
      <c r="M6" s="1221"/>
      <c r="N6" s="1221"/>
      <c r="O6" s="1221"/>
      <c r="P6" s="1221"/>
      <c r="Q6" s="1221"/>
      <c r="R6" s="1221"/>
      <c r="S6" s="1221"/>
    </row>
    <row r="7" spans="1:20" x14ac:dyDescent="0.2">
      <c r="A7" s="48"/>
      <c r="B7" s="1221"/>
      <c r="C7" s="1221"/>
      <c r="D7" s="1221"/>
      <c r="E7" s="1221"/>
      <c r="F7" s="1221"/>
      <c r="G7" s="1221"/>
      <c r="H7" s="1221"/>
      <c r="I7" s="1221"/>
      <c r="J7" s="1221"/>
      <c r="K7" s="1221"/>
      <c r="L7" s="1221"/>
      <c r="M7" s="1221"/>
      <c r="N7" s="1221"/>
      <c r="O7" s="1221"/>
      <c r="P7" s="1221"/>
      <c r="Q7" s="1221"/>
      <c r="R7" s="1221"/>
      <c r="S7" s="1221"/>
    </row>
    <row r="8" spans="1:20" ht="15.75" customHeight="1" x14ac:dyDescent="0.2">
      <c r="A8" s="27"/>
      <c r="B8" s="1221"/>
      <c r="C8" s="1221"/>
      <c r="D8" s="1221"/>
      <c r="E8" s="1221"/>
      <c r="F8" s="1221"/>
      <c r="G8" s="1221"/>
      <c r="H8" s="1221"/>
      <c r="I8" s="1221"/>
      <c r="J8" s="1221"/>
      <c r="K8" s="1221"/>
      <c r="L8" s="1221"/>
      <c r="M8" s="1221"/>
      <c r="N8" s="1221"/>
      <c r="O8" s="1221"/>
      <c r="P8" s="1221"/>
      <c r="Q8" s="1221"/>
      <c r="R8" s="1221"/>
      <c r="S8" s="1221"/>
    </row>
    <row r="9" spans="1:20" ht="57" customHeight="1" x14ac:dyDescent="0.2">
      <c r="B9" s="1221"/>
      <c r="C9" s="1221"/>
      <c r="D9" s="1221"/>
      <c r="E9" s="1221"/>
      <c r="F9" s="1221"/>
      <c r="G9" s="1221"/>
      <c r="H9" s="1221"/>
      <c r="I9" s="1221"/>
      <c r="J9" s="1221"/>
      <c r="K9" s="1221"/>
      <c r="L9" s="1221"/>
      <c r="M9" s="1221"/>
      <c r="N9" s="1221"/>
      <c r="O9" s="1221"/>
      <c r="P9" s="1221"/>
      <c r="Q9" s="1221"/>
      <c r="R9" s="1221"/>
      <c r="S9" s="1221"/>
    </row>
    <row r="11" spans="1:20" x14ac:dyDescent="0.2">
      <c r="A11" s="1125" t="s">
        <v>4527</v>
      </c>
      <c r="B11" s="1125"/>
      <c r="C11" s="1125"/>
      <c r="D11" s="1125"/>
      <c r="E11" s="1125"/>
      <c r="F11" s="1125"/>
      <c r="G11" s="1125"/>
      <c r="H11" s="1125"/>
      <c r="I11" s="1125"/>
      <c r="J11" s="1125"/>
      <c r="K11" s="1125"/>
      <c r="L11" s="1125"/>
      <c r="M11" s="1125"/>
      <c r="N11" s="1125"/>
      <c r="O11" s="1125"/>
      <c r="P11" s="1125"/>
      <c r="Q11" s="1125"/>
      <c r="R11" s="1125"/>
      <c r="S11" s="1125"/>
    </row>
    <row r="12" spans="1:20" ht="14.25" customHeight="1" x14ac:dyDescent="0.2">
      <c r="A12" s="48"/>
      <c r="B12" s="1221"/>
      <c r="C12" s="1221"/>
      <c r="D12" s="1221"/>
      <c r="E12" s="1221"/>
      <c r="F12" s="1221"/>
      <c r="G12" s="1221"/>
      <c r="H12" s="1221"/>
      <c r="I12" s="1221"/>
      <c r="J12" s="1221"/>
      <c r="K12" s="1221"/>
      <c r="L12" s="1221"/>
      <c r="M12" s="1221"/>
      <c r="N12" s="1221"/>
      <c r="O12" s="1221"/>
      <c r="P12" s="1221"/>
      <c r="Q12" s="1221"/>
      <c r="R12" s="1221"/>
      <c r="S12" s="1221"/>
    </row>
    <row r="13" spans="1:20" x14ac:dyDescent="0.2">
      <c r="A13" s="48"/>
      <c r="B13" s="1221"/>
      <c r="C13" s="1221"/>
      <c r="D13" s="1221"/>
      <c r="E13" s="1221"/>
      <c r="F13" s="1221"/>
      <c r="G13" s="1221"/>
      <c r="H13" s="1221"/>
      <c r="I13" s="1221"/>
      <c r="J13" s="1221"/>
      <c r="K13" s="1221"/>
      <c r="L13" s="1221"/>
      <c r="M13" s="1221"/>
      <c r="N13" s="1221"/>
      <c r="O13" s="1221"/>
      <c r="P13" s="1221"/>
      <c r="Q13" s="1221"/>
      <c r="R13" s="1221"/>
      <c r="S13" s="1221"/>
    </row>
    <row r="14" spans="1:20" ht="15.75" customHeight="1" x14ac:dyDescent="0.2">
      <c r="A14" s="27"/>
      <c r="B14" s="1221"/>
      <c r="C14" s="1221"/>
      <c r="D14" s="1221"/>
      <c r="E14" s="1221"/>
      <c r="F14" s="1221"/>
      <c r="G14" s="1221"/>
      <c r="H14" s="1221"/>
      <c r="I14" s="1221"/>
      <c r="J14" s="1221"/>
      <c r="K14" s="1221"/>
      <c r="L14" s="1221"/>
      <c r="M14" s="1221"/>
      <c r="N14" s="1221"/>
      <c r="O14" s="1221"/>
      <c r="P14" s="1221"/>
      <c r="Q14" s="1221"/>
      <c r="R14" s="1221"/>
      <c r="S14" s="1221"/>
    </row>
    <row r="15" spans="1:20" ht="57" customHeight="1" x14ac:dyDescent="0.2">
      <c r="B15" s="1221"/>
      <c r="C15" s="1221"/>
      <c r="D15" s="1221"/>
      <c r="E15" s="1221"/>
      <c r="F15" s="1221"/>
      <c r="G15" s="1221"/>
      <c r="H15" s="1221"/>
      <c r="I15" s="1221"/>
      <c r="J15" s="1221"/>
      <c r="K15" s="1221"/>
      <c r="L15" s="1221"/>
      <c r="M15" s="1221"/>
      <c r="N15" s="1221"/>
      <c r="O15" s="1221"/>
      <c r="P15" s="1221"/>
      <c r="Q15" s="1221"/>
      <c r="R15" s="1221"/>
      <c r="S15" s="1221"/>
    </row>
    <row r="16" spans="1:20" x14ac:dyDescent="0.2">
      <c r="B16" s="191"/>
      <c r="C16" s="191"/>
      <c r="D16" s="191"/>
      <c r="E16" s="191"/>
      <c r="F16" s="191"/>
      <c r="G16" s="191"/>
      <c r="H16" s="191"/>
      <c r="I16" s="191"/>
      <c r="J16" s="191"/>
      <c r="K16" s="191"/>
      <c r="L16" s="191"/>
      <c r="M16" s="191"/>
      <c r="N16" s="191"/>
      <c r="O16" s="191"/>
      <c r="P16" s="191"/>
      <c r="Q16" s="191"/>
      <c r="R16" s="191"/>
      <c r="S16" s="191"/>
      <c r="T16" s="191"/>
    </row>
  </sheetData>
  <sheetProtection algorithmName="SHA-512" hashValue="bw/akMxAeDYkoyfb/sY6rF7Kxd2EUevHaaL81pnSAuM+IoVsGdaRP0Ys++PIxbYIPU4gx4y3ZppqIbANZzbkdw==" saltValue="Ekep2zuGxGjq2mdZ+qi5QA==" spinCount="100000" sheet="1" objects="1" scenarios="1"/>
  <mergeCells count="4">
    <mergeCell ref="A5:S5"/>
    <mergeCell ref="B6:S9"/>
    <mergeCell ref="A11:S11"/>
    <mergeCell ref="B12:S15"/>
  </mergeCells>
  <dataValidations count="1">
    <dataValidation type="textLength" operator="lessThanOrEqual" allowBlank="1" showInputMessage="1" showErrorMessage="1" sqref="B6:S9 B12:S15" xr:uid="{00000000-0002-0000-0A00-000000000000}">
      <formula1>1000</formula1>
    </dataValidation>
  </dataValidations>
  <pageMargins left="0.7" right="0.7" top="0.75" bottom="0.75" header="0.3" footer="0.3"/>
  <pageSetup scale="4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pageSetUpPr fitToPage="1"/>
  </sheetPr>
  <dimension ref="A1:M64"/>
  <sheetViews>
    <sheetView showGridLines="0" zoomScale="85" zoomScaleNormal="85" zoomScaleSheetLayoutView="40" zoomScalePageLayoutView="70" workbookViewId="0">
      <selection activeCell="B7" sqref="B7:E7"/>
    </sheetView>
  </sheetViews>
  <sheetFormatPr defaultColWidth="9" defaultRowHeight="14.25" x14ac:dyDescent="0.2"/>
  <cols>
    <col min="1" max="1" width="4.125" style="5" customWidth="1"/>
    <col min="2" max="3" width="9.125" style="5" bestFit="1" customWidth="1"/>
    <col min="4" max="4" width="13" style="5" bestFit="1" customWidth="1"/>
    <col min="5" max="5" width="24.5" style="5" customWidth="1"/>
    <col min="6" max="6" width="10.75" style="5" customWidth="1"/>
    <col min="7" max="7" width="11" style="5" customWidth="1"/>
    <col min="8" max="8" width="9.25" style="5" bestFit="1" customWidth="1"/>
    <col min="9" max="9" width="29.125" style="5" customWidth="1"/>
    <col min="10" max="10" width="15.875" style="5" bestFit="1" customWidth="1"/>
    <col min="11" max="11" width="9.125" style="5" bestFit="1" customWidth="1"/>
    <col min="12" max="12" width="19.25" style="5" bestFit="1" customWidth="1"/>
    <col min="13" max="13" width="32" style="5" customWidth="1"/>
    <col min="14" max="14" width="4.125" style="5" customWidth="1"/>
    <col min="15" max="15" width="18.375" style="5" bestFit="1" customWidth="1"/>
    <col min="16" max="17" width="9" style="5"/>
    <col min="18" max="18" width="12.375" style="5" bestFit="1" customWidth="1"/>
    <col min="19" max="16384" width="9" style="5"/>
  </cols>
  <sheetData>
    <row r="1" spans="1:13" ht="54.95" customHeight="1" x14ac:dyDescent="0.2"/>
    <row r="2" spans="1:13" s="1" customFormat="1" ht="22.5" x14ac:dyDescent="0.3">
      <c r="A2" s="572" t="s">
        <v>3</v>
      </c>
    </row>
    <row r="3" spans="1:13" s="2" customFormat="1" ht="15.75" x14ac:dyDescent="0.25">
      <c r="A3" s="573" t="s">
        <v>4297</v>
      </c>
      <c r="C3" s="38">
        <f>'Project Details'!C7</f>
        <v>0</v>
      </c>
    </row>
    <row r="4" spans="1:13" ht="15" x14ac:dyDescent="0.2">
      <c r="A4" s="649" t="s">
        <v>4705</v>
      </c>
    </row>
    <row r="5" spans="1:13" x14ac:dyDescent="0.2">
      <c r="A5" s="92"/>
    </row>
    <row r="6" spans="1:13" ht="15" customHeight="1" x14ac:dyDescent="0.25">
      <c r="B6" s="1090" t="s">
        <v>3858</v>
      </c>
      <c r="C6" s="1091"/>
      <c r="D6" s="1091"/>
      <c r="E6" s="1092"/>
      <c r="G6" s="1090">
        <f>'Project Details'!C7</f>
        <v>0</v>
      </c>
      <c r="H6" s="1091"/>
      <c r="I6" s="1091"/>
      <c r="J6" s="1091"/>
      <c r="K6" s="1091"/>
      <c r="L6" s="1091"/>
      <c r="M6" s="1092"/>
    </row>
    <row r="7" spans="1:13" ht="151.5" customHeight="1" x14ac:dyDescent="0.2">
      <c r="B7" s="1123"/>
      <c r="C7" s="1223"/>
      <c r="D7" s="1223"/>
      <c r="E7" s="1124"/>
      <c r="G7" s="1224">
        <f>Narratives!B6</f>
        <v>0</v>
      </c>
      <c r="H7" s="1225"/>
      <c r="I7" s="1225"/>
      <c r="J7" s="1225"/>
      <c r="K7" s="1225"/>
      <c r="L7" s="1225"/>
      <c r="M7" s="1226"/>
    </row>
    <row r="8" spans="1:13" ht="14.25" customHeight="1" x14ac:dyDescent="0.2"/>
    <row r="9" spans="1:13" ht="15" x14ac:dyDescent="0.25">
      <c r="B9" s="78" t="s">
        <v>3556</v>
      </c>
      <c r="C9" s="71"/>
      <c r="D9" s="71">
        <f>'Project Details'!C22</f>
        <v>0</v>
      </c>
      <c r="E9" s="79"/>
      <c r="G9" s="1090" t="s">
        <v>3859</v>
      </c>
      <c r="H9" s="1091"/>
      <c r="I9" s="1092"/>
      <c r="K9" s="1090" t="s">
        <v>3864</v>
      </c>
      <c r="L9" s="1091"/>
      <c r="M9" s="1092"/>
    </row>
    <row r="10" spans="1:13" x14ac:dyDescent="0.2">
      <c r="B10" s="80" t="s">
        <v>3111</v>
      </c>
      <c r="C10" s="73"/>
      <c r="D10" s="73">
        <f>'Project Details'!C27</f>
        <v>0</v>
      </c>
      <c r="E10" s="81"/>
      <c r="G10" s="78" t="s">
        <v>3756</v>
      </c>
      <c r="H10" s="70"/>
      <c r="I10" s="79">
        <f>'Development Team'!D6</f>
        <v>0</v>
      </c>
      <c r="K10" s="78" t="s">
        <v>4340</v>
      </c>
      <c r="L10" s="71"/>
      <c r="M10" s="79">
        <f>'Development Team'!D36</f>
        <v>0</v>
      </c>
    </row>
    <row r="11" spans="1:13" x14ac:dyDescent="0.2">
      <c r="B11" s="80" t="s">
        <v>4810</v>
      </c>
      <c r="C11" s="73"/>
      <c r="D11" s="73">
        <f>'Project Details'!C26</f>
        <v>0</v>
      </c>
      <c r="E11" s="81"/>
      <c r="G11" s="80" t="s">
        <v>3863</v>
      </c>
      <c r="H11" s="72"/>
      <c r="I11" s="81" t="str">
        <f>CONCATENATE('Development Team'!G8&amp;" "&amp;'Development Team'!G9)</f>
        <v xml:space="preserve"> </v>
      </c>
      <c r="K11" s="80" t="s">
        <v>4339</v>
      </c>
      <c r="L11" s="73"/>
      <c r="M11" s="81">
        <f>'Development Team'!D73</f>
        <v>0</v>
      </c>
    </row>
    <row r="12" spans="1:13" x14ac:dyDescent="0.2">
      <c r="B12" s="80" t="s">
        <v>3690</v>
      </c>
      <c r="C12" s="73"/>
      <c r="D12" s="73">
        <f>'Project Details'!C31</f>
        <v>0</v>
      </c>
      <c r="E12" s="81"/>
      <c r="G12" s="80" t="s">
        <v>3757</v>
      </c>
      <c r="H12" s="72"/>
      <c r="I12" s="81" t="str">
        <f>IF('Development Team'!J6="","N/A",'Development Team'!J6)</f>
        <v>N/A</v>
      </c>
      <c r="K12" s="80" t="s">
        <v>3866</v>
      </c>
      <c r="L12" s="73"/>
      <c r="M12" s="81" t="str">
        <f>IF('Development Team'!D84="","N/A",'Development Team'!D84)</f>
        <v>N/A</v>
      </c>
    </row>
    <row r="13" spans="1:13" x14ac:dyDescent="0.2">
      <c r="B13" s="80" t="s">
        <v>3061</v>
      </c>
      <c r="C13" s="73"/>
      <c r="D13" s="73">
        <f>'Project Details'!C8</f>
        <v>0</v>
      </c>
      <c r="E13" s="74"/>
      <c r="G13" s="80" t="s">
        <v>3860</v>
      </c>
      <c r="H13" s="72"/>
      <c r="I13" s="81">
        <f>'Development Team'!D21</f>
        <v>0</v>
      </c>
      <c r="K13" s="80" t="s">
        <v>4196</v>
      </c>
      <c r="L13" s="73"/>
      <c r="M13" s="81">
        <f>'Development Team'!D86</f>
        <v>0</v>
      </c>
    </row>
    <row r="14" spans="1:13" x14ac:dyDescent="0.2">
      <c r="B14" s="80" t="s">
        <v>3062</v>
      </c>
      <c r="C14" s="73"/>
      <c r="D14" s="73">
        <f>'Project Details'!C9</f>
        <v>0</v>
      </c>
      <c r="E14" s="74"/>
      <c r="G14" s="80" t="s">
        <v>4538</v>
      </c>
      <c r="H14" s="72"/>
      <c r="I14" s="81">
        <f>'Development Team'!D154</f>
        <v>0</v>
      </c>
      <c r="K14" s="80" t="s">
        <v>3866</v>
      </c>
      <c r="L14" s="73"/>
      <c r="M14" s="81">
        <f>'Development Team'!D97</f>
        <v>0</v>
      </c>
    </row>
    <row r="15" spans="1:13" x14ac:dyDescent="0.2">
      <c r="B15" s="80" t="s">
        <v>11</v>
      </c>
      <c r="C15" s="72"/>
      <c r="D15" s="73">
        <f>'Project Details'!C12</f>
        <v>0</v>
      </c>
      <c r="E15" s="81"/>
      <c r="G15" s="80" t="s">
        <v>3861</v>
      </c>
      <c r="H15" s="72"/>
      <c r="I15" s="81">
        <f>'Development Team'!D183</f>
        <v>0</v>
      </c>
      <c r="K15" s="80" t="s">
        <v>4195</v>
      </c>
      <c r="L15" s="73"/>
      <c r="M15" s="81">
        <f>'Development Team'!D99</f>
        <v>0</v>
      </c>
    </row>
    <row r="16" spans="1:13" x14ac:dyDescent="0.2">
      <c r="B16" s="82" t="s">
        <v>3125</v>
      </c>
      <c r="C16" s="76"/>
      <c r="D16" s="83">
        <f>'Project Details'!G11</f>
        <v>0</v>
      </c>
      <c r="E16" s="77"/>
      <c r="G16" s="82" t="s">
        <v>3862</v>
      </c>
      <c r="H16" s="76"/>
      <c r="I16" s="84">
        <f>'Development Team'!D174</f>
        <v>0</v>
      </c>
      <c r="K16" s="82" t="s">
        <v>4300</v>
      </c>
      <c r="L16" s="83"/>
      <c r="M16" s="84" t="str">
        <f>IF('Development Team'!D113="","N/A",'Development Team'!D113)</f>
        <v>N/A</v>
      </c>
    </row>
    <row r="18" spans="2:13" ht="63.75" x14ac:dyDescent="0.2">
      <c r="B18" s="57" t="s">
        <v>3127</v>
      </c>
      <c r="C18" s="57" t="s">
        <v>3173</v>
      </c>
      <c r="D18" s="57" t="s">
        <v>3174</v>
      </c>
      <c r="E18" s="57" t="s">
        <v>4537</v>
      </c>
      <c r="F18" s="570" t="s">
        <v>4379</v>
      </c>
      <c r="G18" s="565" t="s">
        <v>4380</v>
      </c>
      <c r="H18" s="57" t="s">
        <v>3176</v>
      </c>
      <c r="I18" s="57" t="s">
        <v>3177</v>
      </c>
      <c r="J18" s="57" t="s">
        <v>3209</v>
      </c>
      <c r="K18" s="57" t="s">
        <v>3210</v>
      </c>
      <c r="L18" s="57" t="s">
        <v>3211</v>
      </c>
      <c r="M18" s="57" t="s">
        <v>3212</v>
      </c>
    </row>
    <row r="19" spans="2:13" x14ac:dyDescent="0.2">
      <c r="B19" s="640">
        <f>'Budget &amp; Costs'!C9</f>
        <v>0</v>
      </c>
      <c r="C19" s="640">
        <f>'Budget &amp; Costs'!D9</f>
        <v>0</v>
      </c>
      <c r="D19" s="640">
        <f>'Budget &amp; Costs'!E9</f>
        <v>0</v>
      </c>
      <c r="E19" s="640">
        <f>'Budget &amp; Costs'!F9</f>
        <v>0</v>
      </c>
      <c r="F19" s="641">
        <f>'Budget &amp; Costs'!G9</f>
        <v>0</v>
      </c>
      <c r="G19" s="641">
        <f>'Budget &amp; Costs'!H9</f>
        <v>0</v>
      </c>
      <c r="H19" s="642">
        <f>'Budget &amp; Costs'!I9</f>
        <v>0</v>
      </c>
      <c r="I19" s="642">
        <f>'Budget &amp; Costs'!J9</f>
        <v>0</v>
      </c>
      <c r="J19" s="643">
        <f>'Budget &amp; Costs'!M9</f>
        <v>0</v>
      </c>
      <c r="K19" s="640">
        <f>'Budget &amp; Costs'!N9</f>
        <v>0</v>
      </c>
      <c r="L19" s="642">
        <f>'Budget &amp; Costs'!O9</f>
        <v>0</v>
      </c>
      <c r="M19" s="642">
        <f>'Budget &amp; Costs'!P9</f>
        <v>0</v>
      </c>
    </row>
    <row r="20" spans="2:13" x14ac:dyDescent="0.2">
      <c r="B20" s="640">
        <f>'Budget &amp; Costs'!C10</f>
        <v>0</v>
      </c>
      <c r="C20" s="640">
        <f>'Budget &amp; Costs'!D10</f>
        <v>0</v>
      </c>
      <c r="D20" s="640">
        <f>'Budget &amp; Costs'!E10</f>
        <v>0</v>
      </c>
      <c r="E20" s="640">
        <f>'Budget &amp; Costs'!F10</f>
        <v>0</v>
      </c>
      <c r="F20" s="641">
        <f>'Budget &amp; Costs'!G10</f>
        <v>0</v>
      </c>
      <c r="G20" s="641">
        <f>'Budget &amp; Costs'!H10</f>
        <v>0</v>
      </c>
      <c r="H20" s="642">
        <f>'Budget &amp; Costs'!I10</f>
        <v>0</v>
      </c>
      <c r="I20" s="642">
        <f>'Budget &amp; Costs'!J10</f>
        <v>0</v>
      </c>
      <c r="J20" s="643">
        <f>'Budget &amp; Costs'!M10</f>
        <v>0</v>
      </c>
      <c r="K20" s="640">
        <f>'Budget &amp; Costs'!N10</f>
        <v>0</v>
      </c>
      <c r="L20" s="642">
        <f>'Budget &amp; Costs'!O10</f>
        <v>0</v>
      </c>
      <c r="M20" s="642">
        <f>'Budget &amp; Costs'!P10</f>
        <v>0</v>
      </c>
    </row>
    <row r="21" spans="2:13" x14ac:dyDescent="0.2">
      <c r="B21" s="640">
        <f>'Budget &amp; Costs'!C11</f>
        <v>0</v>
      </c>
      <c r="C21" s="640">
        <f>'Budget &amp; Costs'!D11</f>
        <v>0</v>
      </c>
      <c r="D21" s="640">
        <f>'Budget &amp; Costs'!E11</f>
        <v>0</v>
      </c>
      <c r="E21" s="640">
        <f>'Budget &amp; Costs'!F11</f>
        <v>0</v>
      </c>
      <c r="F21" s="641">
        <f>'Budget &amp; Costs'!G11</f>
        <v>0</v>
      </c>
      <c r="G21" s="641">
        <f>'Budget &amp; Costs'!H11</f>
        <v>0</v>
      </c>
      <c r="H21" s="642">
        <f>'Budget &amp; Costs'!I11</f>
        <v>0</v>
      </c>
      <c r="I21" s="642">
        <f>'Budget &amp; Costs'!J11</f>
        <v>0</v>
      </c>
      <c r="J21" s="643">
        <f>'Budget &amp; Costs'!M11</f>
        <v>0</v>
      </c>
      <c r="K21" s="640">
        <f>'Budget &amp; Costs'!N11</f>
        <v>0</v>
      </c>
      <c r="L21" s="642">
        <f>'Budget &amp; Costs'!O11</f>
        <v>0</v>
      </c>
      <c r="M21" s="642">
        <f>'Budget &amp; Costs'!P11</f>
        <v>0</v>
      </c>
    </row>
    <row r="22" spans="2:13" x14ac:dyDescent="0.2">
      <c r="B22" s="640">
        <f>'Budget &amp; Costs'!C12</f>
        <v>0</v>
      </c>
      <c r="C22" s="640">
        <f>'Budget &amp; Costs'!D12</f>
        <v>0</v>
      </c>
      <c r="D22" s="640">
        <f>'Budget &amp; Costs'!E12</f>
        <v>0</v>
      </c>
      <c r="E22" s="640">
        <f>'Budget &amp; Costs'!F12</f>
        <v>0</v>
      </c>
      <c r="F22" s="641">
        <f>'Budget &amp; Costs'!G12</f>
        <v>0</v>
      </c>
      <c r="G22" s="641">
        <f>'Budget &amp; Costs'!H12</f>
        <v>0</v>
      </c>
      <c r="H22" s="642">
        <f>'Budget &amp; Costs'!I12</f>
        <v>0</v>
      </c>
      <c r="I22" s="642">
        <f>'Budget &amp; Costs'!J12</f>
        <v>0</v>
      </c>
      <c r="J22" s="643">
        <f>'Budget &amp; Costs'!M12</f>
        <v>0</v>
      </c>
      <c r="K22" s="640">
        <f>'Budget &amp; Costs'!N12</f>
        <v>0</v>
      </c>
      <c r="L22" s="642">
        <f>'Budget &amp; Costs'!O12</f>
        <v>0</v>
      </c>
      <c r="M22" s="642">
        <f>'Budget &amp; Costs'!P12</f>
        <v>0</v>
      </c>
    </row>
    <row r="23" spans="2:13" x14ac:dyDescent="0.2">
      <c r="B23" s="640">
        <f>'Budget &amp; Costs'!C13</f>
        <v>0</v>
      </c>
      <c r="C23" s="640">
        <f>'Budget &amp; Costs'!D13</f>
        <v>0</v>
      </c>
      <c r="D23" s="640">
        <f>'Budget &amp; Costs'!E13</f>
        <v>0</v>
      </c>
      <c r="E23" s="640">
        <f>'Budget &amp; Costs'!F13</f>
        <v>0</v>
      </c>
      <c r="F23" s="641">
        <f>'Budget &amp; Costs'!G13</f>
        <v>0</v>
      </c>
      <c r="G23" s="641">
        <f>'Budget &amp; Costs'!H13</f>
        <v>0</v>
      </c>
      <c r="H23" s="642">
        <f>'Budget &amp; Costs'!I13</f>
        <v>0</v>
      </c>
      <c r="I23" s="642">
        <f>'Budget &amp; Costs'!J13</f>
        <v>0</v>
      </c>
      <c r="J23" s="643">
        <f>'Budget &amp; Costs'!M13</f>
        <v>0</v>
      </c>
      <c r="K23" s="640">
        <f>'Budget &amp; Costs'!N13</f>
        <v>0</v>
      </c>
      <c r="L23" s="642">
        <f>'Budget &amp; Costs'!O13</f>
        <v>0</v>
      </c>
      <c r="M23" s="642">
        <f>'Budget &amp; Costs'!P13</f>
        <v>0</v>
      </c>
    </row>
    <row r="24" spans="2:13" x14ac:dyDescent="0.2">
      <c r="B24" s="640">
        <f>'Budget &amp; Costs'!C14</f>
        <v>0</v>
      </c>
      <c r="C24" s="640">
        <f>'Budget &amp; Costs'!D14</f>
        <v>0</v>
      </c>
      <c r="D24" s="640">
        <f>'Budget &amp; Costs'!E14</f>
        <v>0</v>
      </c>
      <c r="E24" s="640">
        <f>'Budget &amp; Costs'!F14</f>
        <v>0</v>
      </c>
      <c r="F24" s="641">
        <f>'Budget &amp; Costs'!G14</f>
        <v>0</v>
      </c>
      <c r="G24" s="641">
        <f>'Budget &amp; Costs'!H14</f>
        <v>0</v>
      </c>
      <c r="H24" s="642">
        <f>'Budget &amp; Costs'!I14</f>
        <v>0</v>
      </c>
      <c r="I24" s="642">
        <f>'Budget &amp; Costs'!J14</f>
        <v>0</v>
      </c>
      <c r="J24" s="643">
        <f>'Budget &amp; Costs'!M14</f>
        <v>0</v>
      </c>
      <c r="K24" s="640">
        <f>'Budget &amp; Costs'!N14</f>
        <v>0</v>
      </c>
      <c r="L24" s="642">
        <f>'Budget &amp; Costs'!O14</f>
        <v>0</v>
      </c>
      <c r="M24" s="642">
        <f>'Budget &amp; Costs'!P14</f>
        <v>0</v>
      </c>
    </row>
    <row r="25" spans="2:13" x14ac:dyDescent="0.2">
      <c r="B25" s="640">
        <f>'Budget &amp; Costs'!C15</f>
        <v>0</v>
      </c>
      <c r="C25" s="640">
        <f>'Budget &amp; Costs'!D15</f>
        <v>0</v>
      </c>
      <c r="D25" s="640">
        <f>'Budget &amp; Costs'!E15</f>
        <v>0</v>
      </c>
      <c r="E25" s="640">
        <f>'Budget &amp; Costs'!F15</f>
        <v>0</v>
      </c>
      <c r="F25" s="641">
        <f>'Budget &amp; Costs'!G15</f>
        <v>0</v>
      </c>
      <c r="G25" s="641">
        <f>'Budget &amp; Costs'!H15</f>
        <v>0</v>
      </c>
      <c r="H25" s="642">
        <f>'Budget &amp; Costs'!I15</f>
        <v>0</v>
      </c>
      <c r="I25" s="642">
        <f>'Budget &amp; Costs'!J15</f>
        <v>0</v>
      </c>
      <c r="J25" s="643">
        <f>'Budget &amp; Costs'!M15</f>
        <v>0</v>
      </c>
      <c r="K25" s="640">
        <f>'Budget &amp; Costs'!N15</f>
        <v>0</v>
      </c>
      <c r="L25" s="642">
        <f>'Budget &amp; Costs'!O15</f>
        <v>0</v>
      </c>
      <c r="M25" s="642">
        <f>'Budget &amp; Costs'!P15</f>
        <v>0</v>
      </c>
    </row>
    <row r="26" spans="2:13" x14ac:dyDescent="0.2">
      <c r="B26" s="640">
        <f>'Budget &amp; Costs'!C16</f>
        <v>0</v>
      </c>
      <c r="C26" s="640">
        <f>'Budget &amp; Costs'!D16</f>
        <v>0</v>
      </c>
      <c r="D26" s="640">
        <f>'Budget &amp; Costs'!E16</f>
        <v>0</v>
      </c>
      <c r="E26" s="640">
        <f>'Budget &amp; Costs'!F16</f>
        <v>0</v>
      </c>
      <c r="F26" s="641">
        <f>'Budget &amp; Costs'!G16</f>
        <v>0</v>
      </c>
      <c r="G26" s="641">
        <f>'Budget &amp; Costs'!H16</f>
        <v>0</v>
      </c>
      <c r="H26" s="642">
        <f>'Budget &amp; Costs'!I16</f>
        <v>0</v>
      </c>
      <c r="I26" s="642">
        <f>'Budget &amp; Costs'!J16</f>
        <v>0</v>
      </c>
      <c r="J26" s="643">
        <f>'Budget &amp; Costs'!M16</f>
        <v>0</v>
      </c>
      <c r="K26" s="640">
        <f>'Budget &amp; Costs'!N16</f>
        <v>0</v>
      </c>
      <c r="L26" s="642">
        <f>'Budget &amp; Costs'!O16</f>
        <v>0</v>
      </c>
      <c r="M26" s="642">
        <f>'Budget &amp; Costs'!P16</f>
        <v>0</v>
      </c>
    </row>
    <row r="27" spans="2:13" x14ac:dyDescent="0.2">
      <c r="B27" s="640">
        <f>'Budget &amp; Costs'!C17</f>
        <v>0</v>
      </c>
      <c r="C27" s="640">
        <f>'Budget &amp; Costs'!D17</f>
        <v>0</v>
      </c>
      <c r="D27" s="640">
        <f>'Budget &amp; Costs'!E17</f>
        <v>0</v>
      </c>
      <c r="E27" s="640">
        <f>'Budget &amp; Costs'!F17</f>
        <v>0</v>
      </c>
      <c r="F27" s="641">
        <f>'Budget &amp; Costs'!G17</f>
        <v>0</v>
      </c>
      <c r="G27" s="641">
        <f>'Budget &amp; Costs'!H17</f>
        <v>0</v>
      </c>
      <c r="H27" s="642">
        <f>'Budget &amp; Costs'!I17</f>
        <v>0</v>
      </c>
      <c r="I27" s="642">
        <f>'Budget &amp; Costs'!J17</f>
        <v>0</v>
      </c>
      <c r="J27" s="643">
        <f>'Budget &amp; Costs'!M17</f>
        <v>0</v>
      </c>
      <c r="K27" s="640">
        <f>'Budget &amp; Costs'!N17</f>
        <v>0</v>
      </c>
      <c r="L27" s="642">
        <f>'Budget &amp; Costs'!O17</f>
        <v>0</v>
      </c>
      <c r="M27" s="642">
        <f>'Budget &amp; Costs'!P17</f>
        <v>0</v>
      </c>
    </row>
    <row r="28" spans="2:13" x14ac:dyDescent="0.2">
      <c r="B28" s="640">
        <f>'Budget &amp; Costs'!C18</f>
        <v>0</v>
      </c>
      <c r="C28" s="640">
        <f>'Budget &amp; Costs'!D18</f>
        <v>0</v>
      </c>
      <c r="D28" s="640">
        <f>'Budget &amp; Costs'!E18</f>
        <v>0</v>
      </c>
      <c r="E28" s="640">
        <f>'Budget &amp; Costs'!F18</f>
        <v>0</v>
      </c>
      <c r="F28" s="641">
        <f>'Budget &amp; Costs'!G18</f>
        <v>0</v>
      </c>
      <c r="G28" s="641">
        <f>'Budget &amp; Costs'!H18</f>
        <v>0</v>
      </c>
      <c r="H28" s="642">
        <f>'Budget &amp; Costs'!I18</f>
        <v>0</v>
      </c>
      <c r="I28" s="642">
        <f>'Budget &amp; Costs'!J18</f>
        <v>0</v>
      </c>
      <c r="J28" s="643">
        <f>'Budget &amp; Costs'!M18</f>
        <v>0</v>
      </c>
      <c r="K28" s="640">
        <f>'Budget &amp; Costs'!N18</f>
        <v>0</v>
      </c>
      <c r="L28" s="642">
        <f>'Budget &amp; Costs'!O18</f>
        <v>0</v>
      </c>
      <c r="M28" s="642">
        <f>'Budget &amp; Costs'!P18</f>
        <v>0</v>
      </c>
    </row>
    <row r="29" spans="2:13" x14ac:dyDescent="0.2">
      <c r="B29" s="640">
        <f>'Budget &amp; Costs'!C19</f>
        <v>0</v>
      </c>
      <c r="C29" s="640">
        <f>'Budget &amp; Costs'!D19</f>
        <v>0</v>
      </c>
      <c r="D29" s="640">
        <f>'Budget &amp; Costs'!E19</f>
        <v>0</v>
      </c>
      <c r="E29" s="640">
        <f>'Budget &amp; Costs'!F19</f>
        <v>0</v>
      </c>
      <c r="F29" s="641">
        <f>'Budget &amp; Costs'!G19</f>
        <v>0</v>
      </c>
      <c r="G29" s="641">
        <f>'Budget &amp; Costs'!H19</f>
        <v>0</v>
      </c>
      <c r="H29" s="642">
        <f>'Budget &amp; Costs'!I19</f>
        <v>0</v>
      </c>
      <c r="I29" s="642">
        <f>'Budget &amp; Costs'!J19</f>
        <v>0</v>
      </c>
      <c r="J29" s="643">
        <f>'Budget &amp; Costs'!M19</f>
        <v>0</v>
      </c>
      <c r="K29" s="640">
        <f>'Budget &amp; Costs'!N19</f>
        <v>0</v>
      </c>
      <c r="L29" s="642">
        <f>'Budget &amp; Costs'!O19</f>
        <v>0</v>
      </c>
      <c r="M29" s="642">
        <f>'Budget &amp; Costs'!P19</f>
        <v>0</v>
      </c>
    </row>
    <row r="30" spans="2:13" x14ac:dyDescent="0.2">
      <c r="B30" s="640">
        <f>'Budget &amp; Costs'!C20</f>
        <v>0</v>
      </c>
      <c r="C30" s="640">
        <f>'Budget &amp; Costs'!D20</f>
        <v>0</v>
      </c>
      <c r="D30" s="640">
        <f>'Budget &amp; Costs'!E20</f>
        <v>0</v>
      </c>
      <c r="E30" s="640">
        <f>'Budget &amp; Costs'!F20</f>
        <v>0</v>
      </c>
      <c r="F30" s="641">
        <f>'Budget &amp; Costs'!G20</f>
        <v>0</v>
      </c>
      <c r="G30" s="641">
        <f>'Budget &amp; Costs'!H20</f>
        <v>0</v>
      </c>
      <c r="H30" s="642">
        <f>'Budget &amp; Costs'!I20</f>
        <v>0</v>
      </c>
      <c r="I30" s="642">
        <f>'Budget &amp; Costs'!J20</f>
        <v>0</v>
      </c>
      <c r="J30" s="643">
        <f>'Budget &amp; Costs'!M20</f>
        <v>0</v>
      </c>
      <c r="K30" s="640">
        <f>'Budget &amp; Costs'!N20</f>
        <v>0</v>
      </c>
      <c r="L30" s="642">
        <f>'Budget &amp; Costs'!O20</f>
        <v>0</v>
      </c>
      <c r="M30" s="642">
        <f>'Budget &amp; Costs'!P20</f>
        <v>0</v>
      </c>
    </row>
    <row r="31" spans="2:13" x14ac:dyDescent="0.2">
      <c r="B31" s="640">
        <f>'Budget &amp; Costs'!C21</f>
        <v>0</v>
      </c>
      <c r="C31" s="640">
        <f>'Budget &amp; Costs'!D21</f>
        <v>0</v>
      </c>
      <c r="D31" s="640">
        <f>'Budget &amp; Costs'!E21</f>
        <v>0</v>
      </c>
      <c r="E31" s="640">
        <f>'Budget &amp; Costs'!F21</f>
        <v>0</v>
      </c>
      <c r="F31" s="641">
        <f>'Budget &amp; Costs'!G21</f>
        <v>0</v>
      </c>
      <c r="G31" s="641">
        <f>'Budget &amp; Costs'!H21</f>
        <v>0</v>
      </c>
      <c r="H31" s="642">
        <f>'Budget &amp; Costs'!I21</f>
        <v>0</v>
      </c>
      <c r="I31" s="642">
        <f>'Budget &amp; Costs'!J21</f>
        <v>0</v>
      </c>
      <c r="J31" s="643">
        <f>'Budget &amp; Costs'!M21</f>
        <v>0</v>
      </c>
      <c r="K31" s="640">
        <f>'Budget &amp; Costs'!N21</f>
        <v>0</v>
      </c>
      <c r="L31" s="642">
        <f>'Budget &amp; Costs'!O21</f>
        <v>0</v>
      </c>
      <c r="M31" s="642">
        <f>'Budget &amp; Costs'!P21</f>
        <v>0</v>
      </c>
    </row>
    <row r="32" spans="2:13" x14ac:dyDescent="0.2">
      <c r="B32" s="640">
        <f>'Budget &amp; Costs'!C22</f>
        <v>0</v>
      </c>
      <c r="C32" s="640">
        <f>'Budget &amp; Costs'!D22</f>
        <v>0</v>
      </c>
      <c r="D32" s="640">
        <f>'Budget &amp; Costs'!E22</f>
        <v>0</v>
      </c>
      <c r="E32" s="640">
        <f>'Budget &amp; Costs'!F22</f>
        <v>0</v>
      </c>
      <c r="F32" s="641">
        <f>'Budget &amp; Costs'!G22</f>
        <v>0</v>
      </c>
      <c r="G32" s="641">
        <f>'Budget &amp; Costs'!H22</f>
        <v>0</v>
      </c>
      <c r="H32" s="642">
        <f>'Budget &amp; Costs'!I22</f>
        <v>0</v>
      </c>
      <c r="I32" s="642">
        <f>'Budget &amp; Costs'!J22</f>
        <v>0</v>
      </c>
      <c r="J32" s="643">
        <f>'Budget &amp; Costs'!M22</f>
        <v>0</v>
      </c>
      <c r="K32" s="640">
        <f>'Budget &amp; Costs'!N22</f>
        <v>0</v>
      </c>
      <c r="L32" s="642">
        <f>'Budget &amp; Costs'!O22</f>
        <v>0</v>
      </c>
      <c r="M32" s="642">
        <f>'Budget &amp; Costs'!P22</f>
        <v>0</v>
      </c>
    </row>
    <row r="33" spans="2:13" x14ac:dyDescent="0.2">
      <c r="B33" s="640">
        <f>'Budget &amp; Costs'!C23</f>
        <v>0</v>
      </c>
      <c r="C33" s="640">
        <f>'Budget &amp; Costs'!D23</f>
        <v>0</v>
      </c>
      <c r="D33" s="640">
        <f>'Budget &amp; Costs'!E23</f>
        <v>0</v>
      </c>
      <c r="E33" s="640">
        <f>'Budget &amp; Costs'!F23</f>
        <v>0</v>
      </c>
      <c r="F33" s="641">
        <f>'Budget &amp; Costs'!G23</f>
        <v>0</v>
      </c>
      <c r="G33" s="641">
        <f>'Budget &amp; Costs'!H23</f>
        <v>0</v>
      </c>
      <c r="H33" s="642">
        <f>'Budget &amp; Costs'!I23</f>
        <v>0</v>
      </c>
      <c r="I33" s="642">
        <f>'Budget &amp; Costs'!J23</f>
        <v>0</v>
      </c>
      <c r="J33" s="643">
        <f>'Budget &amp; Costs'!M23</f>
        <v>0</v>
      </c>
      <c r="K33" s="640">
        <f>'Budget &amp; Costs'!N23</f>
        <v>0</v>
      </c>
      <c r="L33" s="642">
        <f>'Budget &amp; Costs'!O23</f>
        <v>0</v>
      </c>
      <c r="M33" s="642">
        <f>'Budget &amp; Costs'!P23</f>
        <v>0</v>
      </c>
    </row>
    <row r="34" spans="2:13" x14ac:dyDescent="0.2">
      <c r="B34" s="640">
        <f>'Budget &amp; Costs'!C24</f>
        <v>0</v>
      </c>
      <c r="C34" s="640">
        <f>'Budget &amp; Costs'!D24</f>
        <v>0</v>
      </c>
      <c r="D34" s="640">
        <f>'Budget &amp; Costs'!E24</f>
        <v>0</v>
      </c>
      <c r="E34" s="640">
        <f>'Budget &amp; Costs'!F24</f>
        <v>0</v>
      </c>
      <c r="F34" s="641">
        <f>'Budget &amp; Costs'!G24</f>
        <v>0</v>
      </c>
      <c r="G34" s="641">
        <f>'Budget &amp; Costs'!H24</f>
        <v>0</v>
      </c>
      <c r="H34" s="642">
        <f>'Budget &amp; Costs'!I24</f>
        <v>0</v>
      </c>
      <c r="I34" s="642">
        <f>'Budget &amp; Costs'!J24</f>
        <v>0</v>
      </c>
      <c r="J34" s="643">
        <f>'Budget &amp; Costs'!M24</f>
        <v>0</v>
      </c>
      <c r="K34" s="640">
        <f>'Budget &amp; Costs'!N24</f>
        <v>0</v>
      </c>
      <c r="L34" s="642">
        <f>'Budget &amp; Costs'!O24</f>
        <v>0</v>
      </c>
      <c r="M34" s="642">
        <f>'Budget &amp; Costs'!P24</f>
        <v>0</v>
      </c>
    </row>
    <row r="35" spans="2:13" x14ac:dyDescent="0.2">
      <c r="B35" s="640">
        <f>'Budget &amp; Costs'!C25</f>
        <v>0</v>
      </c>
      <c r="C35" s="640">
        <f>'Budget &amp; Costs'!D25</f>
        <v>0</v>
      </c>
      <c r="D35" s="640">
        <f>'Budget &amp; Costs'!E25</f>
        <v>0</v>
      </c>
      <c r="E35" s="640">
        <f>'Budget &amp; Costs'!F25</f>
        <v>0</v>
      </c>
      <c r="F35" s="641">
        <f>'Budget &amp; Costs'!G25</f>
        <v>0</v>
      </c>
      <c r="G35" s="641">
        <f>'Budget &amp; Costs'!H25</f>
        <v>0</v>
      </c>
      <c r="H35" s="642">
        <f>'Budget &amp; Costs'!I25</f>
        <v>0</v>
      </c>
      <c r="I35" s="642">
        <f>'Budget &amp; Costs'!J25</f>
        <v>0</v>
      </c>
      <c r="J35" s="643">
        <f>'Budget &amp; Costs'!M25</f>
        <v>0</v>
      </c>
      <c r="K35" s="640">
        <f>'Budget &amp; Costs'!N25</f>
        <v>0</v>
      </c>
      <c r="L35" s="642">
        <f>'Budget &amp; Costs'!O25</f>
        <v>0</v>
      </c>
      <c r="M35" s="642">
        <f>'Budget &amp; Costs'!P25</f>
        <v>0</v>
      </c>
    </row>
    <row r="36" spans="2:13" x14ac:dyDescent="0.2">
      <c r="B36" s="640">
        <f>'Budget &amp; Costs'!C26</f>
        <v>0</v>
      </c>
      <c r="C36" s="640">
        <f>'Budget &amp; Costs'!D26</f>
        <v>0</v>
      </c>
      <c r="D36" s="640">
        <f>'Budget &amp; Costs'!E26</f>
        <v>0</v>
      </c>
      <c r="E36" s="640">
        <f>'Budget &amp; Costs'!F26</f>
        <v>0</v>
      </c>
      <c r="F36" s="641">
        <f>'Budget &amp; Costs'!G26</f>
        <v>0</v>
      </c>
      <c r="G36" s="641">
        <f>'Budget &amp; Costs'!H26</f>
        <v>0</v>
      </c>
      <c r="H36" s="642">
        <f>'Budget &amp; Costs'!I26</f>
        <v>0</v>
      </c>
      <c r="I36" s="642">
        <f>'Budget &amp; Costs'!J26</f>
        <v>0</v>
      </c>
      <c r="J36" s="643">
        <f>'Budget &amp; Costs'!M26</f>
        <v>0</v>
      </c>
      <c r="K36" s="640">
        <f>'Budget &amp; Costs'!N26</f>
        <v>0</v>
      </c>
      <c r="L36" s="642">
        <f>'Budget &amp; Costs'!O26</f>
        <v>0</v>
      </c>
      <c r="M36" s="642">
        <f>'Budget &amp; Costs'!P26</f>
        <v>0</v>
      </c>
    </row>
    <row r="37" spans="2:13" x14ac:dyDescent="0.2">
      <c r="B37" s="640">
        <f>'Budget &amp; Costs'!C27</f>
        <v>0</v>
      </c>
      <c r="C37" s="640">
        <f>'Budget &amp; Costs'!D27</f>
        <v>0</v>
      </c>
      <c r="D37" s="640">
        <f>'Budget &amp; Costs'!E27</f>
        <v>0</v>
      </c>
      <c r="E37" s="640">
        <f>'Budget &amp; Costs'!F27</f>
        <v>0</v>
      </c>
      <c r="F37" s="641">
        <f>'Budget &amp; Costs'!G27</f>
        <v>0</v>
      </c>
      <c r="G37" s="641">
        <f>'Budget &amp; Costs'!H27</f>
        <v>0</v>
      </c>
      <c r="H37" s="642">
        <f>'Budget &amp; Costs'!I27</f>
        <v>0</v>
      </c>
      <c r="I37" s="642">
        <f>'Budget &amp; Costs'!J27</f>
        <v>0</v>
      </c>
      <c r="J37" s="643">
        <f>'Budget &amp; Costs'!M27</f>
        <v>0</v>
      </c>
      <c r="K37" s="640">
        <f>'Budget &amp; Costs'!N27</f>
        <v>0</v>
      </c>
      <c r="L37" s="642">
        <f>'Budget &amp; Costs'!O27</f>
        <v>0</v>
      </c>
      <c r="M37" s="642">
        <f>'Budget &amp; Costs'!P27</f>
        <v>0</v>
      </c>
    </row>
    <row r="38" spans="2:13" x14ac:dyDescent="0.2">
      <c r="B38" s="640">
        <f>'Budget &amp; Costs'!C28</f>
        <v>0</v>
      </c>
      <c r="C38" s="640">
        <f>'Budget &amp; Costs'!D28</f>
        <v>0</v>
      </c>
      <c r="D38" s="640">
        <f>'Budget &amp; Costs'!E28</f>
        <v>0</v>
      </c>
      <c r="E38" s="640">
        <f>'Budget &amp; Costs'!F28</f>
        <v>0</v>
      </c>
      <c r="F38" s="641">
        <f>'Budget &amp; Costs'!G28</f>
        <v>0</v>
      </c>
      <c r="G38" s="641">
        <f>'Budget &amp; Costs'!H28</f>
        <v>0</v>
      </c>
      <c r="H38" s="642">
        <f>'Budget &amp; Costs'!I28</f>
        <v>0</v>
      </c>
      <c r="I38" s="642">
        <f>'Budget &amp; Costs'!J28</f>
        <v>0</v>
      </c>
      <c r="J38" s="643">
        <f>'Budget &amp; Costs'!M28</f>
        <v>0</v>
      </c>
      <c r="K38" s="640">
        <f>'Budget &amp; Costs'!N28</f>
        <v>0</v>
      </c>
      <c r="L38" s="642">
        <f>'Budget &amp; Costs'!O28</f>
        <v>0</v>
      </c>
      <c r="M38" s="642">
        <f>'Budget &amp; Costs'!P28</f>
        <v>0</v>
      </c>
    </row>
    <row r="39" spans="2:13" x14ac:dyDescent="0.2">
      <c r="B39" s="640">
        <f>'Budget &amp; Costs'!C29</f>
        <v>0</v>
      </c>
      <c r="C39" s="640">
        <f>'Budget &amp; Costs'!D29</f>
        <v>0</v>
      </c>
      <c r="D39" s="640">
        <f>'Budget &amp; Costs'!E29</f>
        <v>0</v>
      </c>
      <c r="E39" s="640">
        <f>'Budget &amp; Costs'!F29</f>
        <v>0</v>
      </c>
      <c r="F39" s="641">
        <f>'Budget &amp; Costs'!G29</f>
        <v>0</v>
      </c>
      <c r="G39" s="641">
        <f>'Budget &amp; Costs'!H29</f>
        <v>0</v>
      </c>
      <c r="H39" s="642">
        <f>'Budget &amp; Costs'!I29</f>
        <v>0</v>
      </c>
      <c r="I39" s="642">
        <f>'Budget &amp; Costs'!J29</f>
        <v>0</v>
      </c>
      <c r="J39" s="643">
        <f>'Budget &amp; Costs'!M29</f>
        <v>0</v>
      </c>
      <c r="K39" s="640">
        <f>'Budget &amp; Costs'!N29</f>
        <v>0</v>
      </c>
      <c r="L39" s="642">
        <f>'Budget &amp; Costs'!O29</f>
        <v>0</v>
      </c>
      <c r="M39" s="642">
        <f>'Budget &amp; Costs'!P29</f>
        <v>0</v>
      </c>
    </row>
    <row r="40" spans="2:13" x14ac:dyDescent="0.2">
      <c r="B40" s="640">
        <f>'Budget &amp; Costs'!C30</f>
        <v>0</v>
      </c>
      <c r="C40" s="640">
        <f>'Budget &amp; Costs'!D30</f>
        <v>0</v>
      </c>
      <c r="D40" s="640">
        <f>'Budget &amp; Costs'!E30</f>
        <v>0</v>
      </c>
      <c r="E40" s="640">
        <f>'Budget &amp; Costs'!F30</f>
        <v>0</v>
      </c>
      <c r="F40" s="641">
        <f>'Budget &amp; Costs'!G30</f>
        <v>0</v>
      </c>
      <c r="G40" s="641">
        <f>'Budget &amp; Costs'!H30</f>
        <v>0</v>
      </c>
      <c r="H40" s="642">
        <f>'Budget &amp; Costs'!I30</f>
        <v>0</v>
      </c>
      <c r="I40" s="642">
        <f>'Budget &amp; Costs'!J30</f>
        <v>0</v>
      </c>
      <c r="J40" s="643">
        <f>'Budget &amp; Costs'!M30</f>
        <v>0</v>
      </c>
      <c r="K40" s="640">
        <f>'Budget &amp; Costs'!N30</f>
        <v>0</v>
      </c>
      <c r="L40" s="642">
        <f>'Budget &amp; Costs'!O30</f>
        <v>0</v>
      </c>
      <c r="M40" s="642">
        <f>'Budget &amp; Costs'!P30</f>
        <v>0</v>
      </c>
    </row>
    <row r="41" spans="2:13" x14ac:dyDescent="0.2">
      <c r="B41" s="640">
        <f>'Budget &amp; Costs'!C31</f>
        <v>0</v>
      </c>
      <c r="C41" s="640">
        <f>'Budget &amp; Costs'!D31</f>
        <v>0</v>
      </c>
      <c r="D41" s="640">
        <f>'Budget &amp; Costs'!E31</f>
        <v>0</v>
      </c>
      <c r="E41" s="640">
        <f>'Budget &amp; Costs'!F31</f>
        <v>0</v>
      </c>
      <c r="F41" s="641">
        <f>'Budget &amp; Costs'!G31</f>
        <v>0</v>
      </c>
      <c r="G41" s="641">
        <f>'Budget &amp; Costs'!H31</f>
        <v>0</v>
      </c>
      <c r="H41" s="642">
        <f>'Budget &amp; Costs'!I31</f>
        <v>0</v>
      </c>
      <c r="I41" s="642">
        <f>'Budget &amp; Costs'!J31</f>
        <v>0</v>
      </c>
      <c r="J41" s="643">
        <f>'Budget &amp; Costs'!M31</f>
        <v>0</v>
      </c>
      <c r="K41" s="640">
        <f>'Budget &amp; Costs'!N31</f>
        <v>0</v>
      </c>
      <c r="L41" s="642">
        <f>'Budget &amp; Costs'!O31</f>
        <v>0</v>
      </c>
      <c r="M41" s="642">
        <f>'Budget &amp; Costs'!P31</f>
        <v>0</v>
      </c>
    </row>
    <row r="42" spans="2:13" x14ac:dyDescent="0.2">
      <c r="B42" s="640">
        <f>'Budget &amp; Costs'!C32</f>
        <v>0</v>
      </c>
      <c r="C42" s="640">
        <f>'Budget &amp; Costs'!D32</f>
        <v>0</v>
      </c>
      <c r="D42" s="640">
        <f>'Budget &amp; Costs'!E32</f>
        <v>0</v>
      </c>
      <c r="E42" s="640">
        <f>'Budget &amp; Costs'!F32</f>
        <v>0</v>
      </c>
      <c r="F42" s="641">
        <f>'Budget &amp; Costs'!G32</f>
        <v>0</v>
      </c>
      <c r="G42" s="641">
        <f>'Budget &amp; Costs'!H32</f>
        <v>0</v>
      </c>
      <c r="H42" s="642">
        <f>'Budget &amp; Costs'!I32</f>
        <v>0</v>
      </c>
      <c r="I42" s="642">
        <f>'Budget &amp; Costs'!J32</f>
        <v>0</v>
      </c>
      <c r="J42" s="643">
        <f>'Budget &amp; Costs'!M32</f>
        <v>0</v>
      </c>
      <c r="K42" s="640">
        <f>'Budget &amp; Costs'!N32</f>
        <v>0</v>
      </c>
      <c r="L42" s="642">
        <f>'Budget &amp; Costs'!O32</f>
        <v>0</v>
      </c>
      <c r="M42" s="642">
        <f>'Budget &amp; Costs'!P32</f>
        <v>0</v>
      </c>
    </row>
    <row r="43" spans="2:13" x14ac:dyDescent="0.2">
      <c r="B43" s="640">
        <f>'Budget &amp; Costs'!C33</f>
        <v>0</v>
      </c>
      <c r="C43" s="640">
        <f>'Budget &amp; Costs'!D33</f>
        <v>0</v>
      </c>
      <c r="D43" s="640">
        <f>'Budget &amp; Costs'!E33</f>
        <v>0</v>
      </c>
      <c r="E43" s="640">
        <f>'Budget &amp; Costs'!F33</f>
        <v>0</v>
      </c>
      <c r="F43" s="641">
        <f>'Budget &amp; Costs'!G33</f>
        <v>0</v>
      </c>
      <c r="G43" s="641">
        <f>'Budget &amp; Costs'!H33</f>
        <v>0</v>
      </c>
      <c r="H43" s="642">
        <f>'Budget &amp; Costs'!I33</f>
        <v>0</v>
      </c>
      <c r="I43" s="642">
        <f>'Budget &amp; Costs'!J33</f>
        <v>0</v>
      </c>
      <c r="J43" s="643">
        <f>'Budget &amp; Costs'!M33</f>
        <v>0</v>
      </c>
      <c r="K43" s="640">
        <f>'Budget &amp; Costs'!N33</f>
        <v>0</v>
      </c>
      <c r="L43" s="642">
        <f>'Budget &amp; Costs'!O33</f>
        <v>0</v>
      </c>
      <c r="M43" s="642">
        <f>'Budget &amp; Costs'!P33</f>
        <v>0</v>
      </c>
    </row>
    <row r="44" spans="2:13" x14ac:dyDescent="0.2">
      <c r="B44" s="640">
        <f>'Budget &amp; Costs'!C34</f>
        <v>0</v>
      </c>
      <c r="C44" s="640">
        <f>'Budget &amp; Costs'!D34</f>
        <v>0</v>
      </c>
      <c r="D44" s="640">
        <f>'Budget &amp; Costs'!E34</f>
        <v>0</v>
      </c>
      <c r="E44" s="640">
        <f>'Budget &amp; Costs'!F34</f>
        <v>0</v>
      </c>
      <c r="F44" s="641">
        <f>'Budget &amp; Costs'!G34</f>
        <v>0</v>
      </c>
      <c r="G44" s="641">
        <f>'Budget &amp; Costs'!H34</f>
        <v>0</v>
      </c>
      <c r="H44" s="642">
        <f>'Budget &amp; Costs'!I34</f>
        <v>0</v>
      </c>
      <c r="I44" s="642">
        <f>'Budget &amp; Costs'!J34</f>
        <v>0</v>
      </c>
      <c r="J44" s="643">
        <f>'Budget &amp; Costs'!M34</f>
        <v>0</v>
      </c>
      <c r="K44" s="640">
        <f>'Budget &amp; Costs'!N34</f>
        <v>0</v>
      </c>
      <c r="L44" s="642">
        <f>'Budget &amp; Costs'!O34</f>
        <v>0</v>
      </c>
      <c r="M44" s="642">
        <f>'Budget &amp; Costs'!P34</f>
        <v>0</v>
      </c>
    </row>
    <row r="45" spans="2:13" ht="15" x14ac:dyDescent="0.25">
      <c r="B45" s="371">
        <f>'Budget &amp; Costs'!C45</f>
        <v>0</v>
      </c>
      <c r="C45" s="371" t="str">
        <f>'Budget &amp; Costs'!D45</f>
        <v xml:space="preserve"> TOTAL</v>
      </c>
      <c r="D45" s="371"/>
      <c r="E45" s="371"/>
      <c r="F45" s="645"/>
      <c r="G45" s="645"/>
      <c r="H45" s="646"/>
      <c r="I45" s="646"/>
      <c r="J45" s="647"/>
      <c r="K45" s="371"/>
      <c r="L45" s="646"/>
      <c r="M45" s="648">
        <f>'Budget &amp; Costs'!P45</f>
        <v>0</v>
      </c>
    </row>
    <row r="47" spans="2:13" ht="15" x14ac:dyDescent="0.25">
      <c r="B47" s="1090" t="s">
        <v>3868</v>
      </c>
      <c r="C47" s="1091"/>
      <c r="D47" s="1091"/>
      <c r="E47" s="1092"/>
      <c r="G47" s="1090" t="s">
        <v>3869</v>
      </c>
      <c r="H47" s="1091"/>
      <c r="I47" s="1091"/>
      <c r="J47" s="1092"/>
      <c r="L47" s="1090" t="s">
        <v>3870</v>
      </c>
      <c r="M47" s="1092"/>
    </row>
    <row r="48" spans="2:13" x14ac:dyDescent="0.2">
      <c r="B48" s="88" t="s">
        <v>3330</v>
      </c>
      <c r="C48" s="86"/>
      <c r="D48" s="86"/>
      <c r="E48" s="90">
        <f>'Budget &amp; Costs'!G209</f>
        <v>0</v>
      </c>
      <c r="G48" s="88" t="s">
        <v>3330</v>
      </c>
      <c r="H48" s="89"/>
      <c r="I48" s="89"/>
      <c r="J48" s="90">
        <f>'Budget &amp; Costs'!G238</f>
        <v>0</v>
      </c>
      <c r="L48" s="85" t="s">
        <v>3873</v>
      </c>
      <c r="M48" s="571">
        <f>'Housing Credits'!C43</f>
        <v>0</v>
      </c>
    </row>
    <row r="49" spans="2:13" x14ac:dyDescent="0.2">
      <c r="B49" s="88" t="s">
        <v>3104</v>
      </c>
      <c r="C49" s="86"/>
      <c r="D49" s="86"/>
      <c r="E49" s="90">
        <f>'Budget &amp; Costs'!G212</f>
        <v>0</v>
      </c>
      <c r="G49" s="88" t="s">
        <v>3993</v>
      </c>
      <c r="H49" s="86"/>
      <c r="I49" s="86"/>
      <c r="J49" s="90">
        <f>'Budget &amp; Costs'!G239</f>
        <v>0</v>
      </c>
      <c r="L49" s="85" t="s">
        <v>4552</v>
      </c>
      <c r="M49" s="571">
        <f>'Housing Credits'!C45</f>
        <v>0</v>
      </c>
    </row>
    <row r="50" spans="2:13" x14ac:dyDescent="0.2">
      <c r="B50" s="88" t="s">
        <v>3331</v>
      </c>
      <c r="C50" s="86"/>
      <c r="D50" s="86"/>
      <c r="E50" s="90">
        <f>'Budget &amp; Costs'!G211</f>
        <v>0</v>
      </c>
      <c r="G50" s="88" t="s">
        <v>3992</v>
      </c>
      <c r="H50" s="86"/>
      <c r="I50" s="86"/>
      <c r="J50" s="90">
        <f>'Budget &amp; Costs'!G240</f>
        <v>0</v>
      </c>
    </row>
    <row r="51" spans="2:13" ht="15" x14ac:dyDescent="0.25">
      <c r="B51" s="88" t="s">
        <v>3332</v>
      </c>
      <c r="C51" s="86"/>
      <c r="D51" s="86"/>
      <c r="E51" s="90">
        <f>'Budget &amp; Costs'!G210</f>
        <v>0</v>
      </c>
      <c r="G51" s="88" t="s">
        <v>3331</v>
      </c>
      <c r="H51" s="86"/>
      <c r="I51" s="86"/>
      <c r="J51" s="90">
        <f>'Budget &amp; Costs'!G241</f>
        <v>0</v>
      </c>
      <c r="L51" s="1090" t="s">
        <v>3871</v>
      </c>
      <c r="M51" s="1092"/>
    </row>
    <row r="52" spans="2:13" x14ac:dyDescent="0.2">
      <c r="B52" s="88" t="s">
        <v>3329</v>
      </c>
      <c r="C52" s="89"/>
      <c r="D52" s="89"/>
      <c r="E52" s="90">
        <f>'Budget &amp; Costs'!G208</f>
        <v>0</v>
      </c>
      <c r="G52" s="88" t="s">
        <v>3332</v>
      </c>
      <c r="H52" s="86"/>
      <c r="I52" s="86"/>
      <c r="J52" s="90">
        <f>'Budget &amp; Costs'!G242</f>
        <v>0</v>
      </c>
      <c r="L52" s="85" t="s">
        <v>3342</v>
      </c>
      <c r="M52" s="87">
        <f>SUM('Budget &amp; Costs'!L254:L258)</f>
        <v>0</v>
      </c>
    </row>
    <row r="53" spans="2:13" x14ac:dyDescent="0.2">
      <c r="B53" s="88" t="s">
        <v>4175</v>
      </c>
      <c r="C53" s="86"/>
      <c r="D53" s="86"/>
      <c r="E53" s="90">
        <f>'Budget &amp; Costs'!G213</f>
        <v>0</v>
      </c>
      <c r="G53" s="88" t="s">
        <v>3946</v>
      </c>
      <c r="H53" s="86"/>
      <c r="I53" s="86"/>
      <c r="J53" s="90">
        <f>'Budget &amp; Costs'!G243</f>
        <v>0</v>
      </c>
      <c r="L53" s="85" t="s">
        <v>3874</v>
      </c>
      <c r="M53" s="87">
        <f>SUM('Budget &amp; Costs'!L260:L268)</f>
        <v>0</v>
      </c>
    </row>
    <row r="54" spans="2:13" x14ac:dyDescent="0.2">
      <c r="B54" s="88" t="s">
        <v>4176</v>
      </c>
      <c r="C54" s="86"/>
      <c r="D54" s="86"/>
      <c r="E54" s="90">
        <f>'Budget &amp; Costs'!G214</f>
        <v>0</v>
      </c>
      <c r="G54" s="88" t="s">
        <v>3338</v>
      </c>
      <c r="H54" s="86"/>
      <c r="I54" s="86"/>
      <c r="J54" s="90">
        <f>'Budget &amp; Costs'!G244</f>
        <v>0</v>
      </c>
      <c r="L54" s="85" t="s">
        <v>3875</v>
      </c>
      <c r="M54" s="87">
        <f>SUM('Budget &amp; Costs'!L270:L275)</f>
        <v>0</v>
      </c>
    </row>
    <row r="55" spans="2:13" x14ac:dyDescent="0.2">
      <c r="B55" s="88" t="s">
        <v>4177</v>
      </c>
      <c r="C55" s="86"/>
      <c r="D55" s="86"/>
      <c r="E55" s="90">
        <f>'Budget &amp; Costs'!G215</f>
        <v>0</v>
      </c>
      <c r="G55" s="88" t="s">
        <v>4175</v>
      </c>
      <c r="H55" s="86"/>
      <c r="I55" s="86"/>
      <c r="J55" s="90">
        <f>'Budget &amp; Costs'!G245</f>
        <v>0</v>
      </c>
      <c r="L55" s="85" t="s">
        <v>3385</v>
      </c>
      <c r="M55" s="87">
        <f>SUM('Budget &amp; Costs'!L277:L290)</f>
        <v>0</v>
      </c>
    </row>
    <row r="56" spans="2:13" x14ac:dyDescent="0.2">
      <c r="B56" s="88" t="s">
        <v>4178</v>
      </c>
      <c r="C56" s="86"/>
      <c r="D56" s="86"/>
      <c r="E56" s="90">
        <f>'Budget &amp; Costs'!G216</f>
        <v>0</v>
      </c>
      <c r="G56" s="82" t="s">
        <v>4176</v>
      </c>
      <c r="H56" s="76"/>
      <c r="I56" s="76"/>
      <c r="J56" s="90">
        <f>'Budget &amp; Costs'!G246</f>
        <v>0</v>
      </c>
      <c r="L56" s="85" t="s">
        <v>3877</v>
      </c>
      <c r="M56" s="87">
        <f>SUM('Budget &amp; Costs'!L292:L301)</f>
        <v>0</v>
      </c>
    </row>
    <row r="57" spans="2:13" x14ac:dyDescent="0.2">
      <c r="B57" s="88" t="s">
        <v>4179</v>
      </c>
      <c r="C57" s="86"/>
      <c r="D57" s="86"/>
      <c r="E57" s="90">
        <f>'Budget &amp; Costs'!G217</f>
        <v>0</v>
      </c>
      <c r="G57" s="82" t="s">
        <v>4177</v>
      </c>
      <c r="H57" s="76"/>
      <c r="I57" s="76"/>
      <c r="J57" s="90">
        <f>'Budget &amp; Costs'!G247</f>
        <v>0</v>
      </c>
      <c r="L57" s="85" t="s">
        <v>3386</v>
      </c>
      <c r="M57" s="87">
        <f>SUM('Budget &amp; Costs'!L303:L314)</f>
        <v>0</v>
      </c>
    </row>
    <row r="58" spans="2:13" ht="15" x14ac:dyDescent="0.25">
      <c r="B58" s="568" t="s">
        <v>3105</v>
      </c>
      <c r="C58" s="67"/>
      <c r="D58" s="67"/>
      <c r="E58" s="68">
        <f>'Budget &amp; Costs'!G218</f>
        <v>0</v>
      </c>
      <c r="G58" s="82" t="s">
        <v>4178</v>
      </c>
      <c r="H58" s="76"/>
      <c r="I58" s="76"/>
      <c r="J58" s="90">
        <f>'Budget &amp; Costs'!G248</f>
        <v>0</v>
      </c>
      <c r="L58" s="85" t="s">
        <v>3876</v>
      </c>
      <c r="M58" s="87">
        <f>SUM('Budget &amp; Costs'!L316:L320)</f>
        <v>0</v>
      </c>
    </row>
    <row r="59" spans="2:13" x14ac:dyDescent="0.2">
      <c r="G59" s="82" t="s">
        <v>4179</v>
      </c>
      <c r="H59" s="76"/>
      <c r="I59" s="76"/>
      <c r="J59" s="90">
        <f>'Budget &amp; Costs'!G249</f>
        <v>0</v>
      </c>
      <c r="L59" s="85" t="s">
        <v>3388</v>
      </c>
      <c r="M59" s="87">
        <f>SUM('Budget &amp; Costs'!L322:L325)</f>
        <v>0</v>
      </c>
    </row>
    <row r="60" spans="2:13" ht="15" x14ac:dyDescent="0.25">
      <c r="B60" s="1090" t="s">
        <v>3865</v>
      </c>
      <c r="C60" s="1091"/>
      <c r="D60" s="1091"/>
      <c r="E60" s="1092"/>
      <c r="G60" s="568" t="s">
        <v>3105</v>
      </c>
      <c r="H60" s="67"/>
      <c r="I60" s="67"/>
      <c r="J60" s="68">
        <f>'Budget &amp; Costs'!G250</f>
        <v>0</v>
      </c>
      <c r="L60" s="66" t="s">
        <v>3662</v>
      </c>
      <c r="M60" s="69">
        <f>'Budget &amp; Costs'!L327</f>
        <v>0</v>
      </c>
    </row>
    <row r="61" spans="2:13" ht="15" x14ac:dyDescent="0.25">
      <c r="B61" s="88" t="s">
        <v>3878</v>
      </c>
      <c r="C61" s="86"/>
      <c r="D61" s="86"/>
      <c r="E61" s="91">
        <f>'Project Details'!G30</f>
        <v>0</v>
      </c>
    </row>
    <row r="62" spans="2:13" ht="15" x14ac:dyDescent="0.25">
      <c r="B62" s="88" t="s">
        <v>3879</v>
      </c>
      <c r="C62" s="86"/>
      <c r="D62" s="86"/>
      <c r="E62" s="91">
        <f>'Project Details'!G31</f>
        <v>0</v>
      </c>
      <c r="G62" s="1222"/>
      <c r="H62" s="1222"/>
      <c r="I62" s="1005"/>
      <c r="L62" s="566" t="s">
        <v>3872</v>
      </c>
      <c r="M62" s="567" t="s">
        <v>3687</v>
      </c>
    </row>
    <row r="63" spans="2:13" x14ac:dyDescent="0.2">
      <c r="L63" s="75" t="s">
        <v>3687</v>
      </c>
      <c r="M63" s="618" t="str">
        <f>IFERROR('Budget &amp; Costs'!G178,"Input needed")</f>
        <v>Input needed</v>
      </c>
    </row>
    <row r="64" spans="2:13" x14ac:dyDescent="0.2">
      <c r="L64" s="75" t="s">
        <v>3107</v>
      </c>
      <c r="M64" s="618">
        <f>'Budget &amp; Costs'!F178</f>
        <v>0</v>
      </c>
    </row>
  </sheetData>
  <sheetProtection algorithmName="SHA-512" hashValue="pKkADOcHJ+xHxhmlE+JRt/Ymz3olMjhDWBDkiontnms7f1xaN01L7XKrSMUNrot3dpKkbTP6ASk1TUJhjB5PvQ==" saltValue="DfLjMNbofiTBA/8z2UX/Bg==" spinCount="100000" sheet="1" scenarios="1"/>
  <mergeCells count="12">
    <mergeCell ref="G62:H62"/>
    <mergeCell ref="L51:M51"/>
    <mergeCell ref="L47:M47"/>
    <mergeCell ref="B7:E7"/>
    <mergeCell ref="B6:E6"/>
    <mergeCell ref="G7:M7"/>
    <mergeCell ref="G6:M6"/>
    <mergeCell ref="B47:E47"/>
    <mergeCell ref="K9:M9"/>
    <mergeCell ref="G9:I9"/>
    <mergeCell ref="G47:J47"/>
    <mergeCell ref="B60:E60"/>
  </mergeCells>
  <conditionalFormatting sqref="A1:O65">
    <cfRule type="expression" dxfId="89" priority="1">
      <formula>CELL("protect",XEQ1048513)=0</formula>
    </cfRule>
  </conditionalFormatting>
  <pageMargins left="0.25" right="0.25" top="0.75" bottom="0.75" header="0.3" footer="0.3"/>
  <pageSetup scale="4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M51"/>
  <sheetViews>
    <sheetView topLeftCell="A37" zoomScale="85" zoomScaleNormal="85" workbookViewId="0">
      <selection activeCell="D52" sqref="D52"/>
    </sheetView>
  </sheetViews>
  <sheetFormatPr defaultColWidth="9" defaultRowHeight="14.25" x14ac:dyDescent="0.2"/>
  <cols>
    <col min="1" max="1" width="3.75" style="5" customWidth="1"/>
    <col min="2" max="2" width="3.625" style="5" bestFit="1" customWidth="1"/>
    <col min="3" max="3" width="29.625" style="5" customWidth="1"/>
    <col min="4" max="4" width="20" style="5" customWidth="1"/>
    <col min="5" max="5" width="20.875" style="5" customWidth="1"/>
    <col min="6" max="7" width="9" style="5"/>
    <col min="8" max="8" width="14.75" style="5" customWidth="1"/>
    <col min="9" max="13" width="9" style="5"/>
    <col min="14" max="16384" width="9" style="191"/>
  </cols>
  <sheetData>
    <row r="1" spans="1:13" ht="54.95" customHeight="1" x14ac:dyDescent="0.2"/>
    <row r="2" spans="1:13" s="192" customFormat="1" ht="22.5" x14ac:dyDescent="0.3">
      <c r="A2" s="3" t="s">
        <v>4861</v>
      </c>
      <c r="B2" s="246"/>
      <c r="C2" s="1"/>
      <c r="D2" s="1"/>
      <c r="E2" s="1"/>
      <c r="F2" s="1"/>
      <c r="G2" s="1"/>
      <c r="H2" s="1"/>
      <c r="I2" s="1"/>
      <c r="J2" s="1"/>
      <c r="K2" s="1"/>
      <c r="L2" s="1"/>
      <c r="M2" s="1"/>
    </row>
    <row r="3" spans="1:13" s="193" customFormat="1" ht="15.75" x14ac:dyDescent="0.25">
      <c r="A3" s="4" t="s">
        <v>4297</v>
      </c>
      <c r="B3" s="247"/>
      <c r="C3" s="38">
        <f>'Project Details'!C7</f>
        <v>0</v>
      </c>
      <c r="D3" s="38"/>
      <c r="E3" s="2"/>
      <c r="F3" s="2"/>
      <c r="G3" s="2"/>
      <c r="H3" s="2"/>
      <c r="I3" s="2"/>
      <c r="J3" s="2"/>
      <c r="K3" s="2"/>
      <c r="L3" s="2"/>
      <c r="M3" s="2"/>
    </row>
    <row r="5" spans="1:13" s="197" customFormat="1" ht="24.95" customHeight="1" x14ac:dyDescent="0.2">
      <c r="A5" s="740" t="s">
        <v>3647</v>
      </c>
      <c r="B5" s="187"/>
      <c r="C5" s="187"/>
      <c r="D5" s="1227" t="s">
        <v>3652</v>
      </c>
      <c r="E5" s="1227"/>
      <c r="F5" s="187"/>
      <c r="G5" s="187"/>
      <c r="H5" s="187"/>
      <c r="I5" s="187"/>
      <c r="J5" s="187"/>
      <c r="K5" s="187"/>
      <c r="L5" s="187"/>
      <c r="M5" s="187"/>
    </row>
    <row r="6" spans="1:13" ht="57.75" customHeight="1" x14ac:dyDescent="0.2">
      <c r="A6" s="1083" t="s">
        <v>4859</v>
      </c>
      <c r="B6" s="1083"/>
      <c r="C6" s="1083"/>
      <c r="D6" s="1083"/>
      <c r="E6" s="1083"/>
      <c r="F6" s="1083"/>
      <c r="G6" s="1083"/>
      <c r="H6" s="1083"/>
      <c r="I6" s="1083"/>
      <c r="J6" s="1083"/>
      <c r="K6" s="1083"/>
      <c r="L6" s="1083"/>
      <c r="M6" s="1083"/>
    </row>
    <row r="7" spans="1:13" x14ac:dyDescent="0.2">
      <c r="A7" s="49"/>
      <c r="B7" s="49"/>
      <c r="C7" s="49"/>
      <c r="D7" s="49"/>
      <c r="E7" s="49"/>
      <c r="F7" s="49"/>
      <c r="G7" s="49"/>
      <c r="H7" s="49"/>
      <c r="I7" s="49"/>
      <c r="J7" s="49"/>
      <c r="K7" s="49"/>
      <c r="L7" s="49"/>
      <c r="M7" s="49"/>
    </row>
    <row r="8" spans="1:13" x14ac:dyDescent="0.2">
      <c r="C8" s="5" t="s">
        <v>3648</v>
      </c>
      <c r="D8" s="168"/>
      <c r="E8" s="1031" t="s">
        <v>5319</v>
      </c>
    </row>
    <row r="9" spans="1:13" x14ac:dyDescent="0.2">
      <c r="C9" s="5" t="s">
        <v>5918</v>
      </c>
      <c r="D9" s="168"/>
      <c r="E9" s="1031"/>
    </row>
    <row r="10" spans="1:13" x14ac:dyDescent="0.2">
      <c r="C10" s="5" t="s">
        <v>3335</v>
      </c>
      <c r="D10" s="168"/>
      <c r="E10" s="1031"/>
    </row>
    <row r="11" spans="1:13" x14ac:dyDescent="0.2">
      <c r="C11" s="5" t="s">
        <v>3649</v>
      </c>
      <c r="D11" s="163"/>
    </row>
    <row r="12" spans="1:13" x14ac:dyDescent="0.2">
      <c r="C12" s="5" t="s">
        <v>3650</v>
      </c>
      <c r="D12" s="364"/>
    </row>
    <row r="13" spans="1:13" x14ac:dyDescent="0.2">
      <c r="C13" s="5" t="s">
        <v>3651</v>
      </c>
      <c r="D13" s="168"/>
    </row>
    <row r="14" spans="1:13" x14ac:dyDescent="0.2">
      <c r="C14" s="5" t="s">
        <v>3589</v>
      </c>
      <c r="D14" s="168"/>
    </row>
    <row r="15" spans="1:13" x14ac:dyDescent="0.2">
      <c r="C15" s="5" t="s">
        <v>3584</v>
      </c>
      <c r="D15" s="168"/>
    </row>
    <row r="16" spans="1:13" x14ac:dyDescent="0.2">
      <c r="C16" s="5" t="s">
        <v>4877</v>
      </c>
      <c r="D16" s="168"/>
    </row>
    <row r="17" spans="1:13" ht="30" customHeight="1" x14ac:dyDescent="0.2"/>
    <row r="18" spans="1:13" s="197" customFormat="1" ht="24.95" customHeight="1" x14ac:dyDescent="0.2">
      <c r="A18" s="740" t="s">
        <v>3633</v>
      </c>
      <c r="B18" s="740"/>
      <c r="C18" s="187"/>
      <c r="D18" s="187"/>
      <c r="E18" s="1228" t="s">
        <v>4355</v>
      </c>
      <c r="F18" s="1228"/>
      <c r="G18" s="751"/>
      <c r="H18" s="751"/>
      <c r="I18" s="751"/>
      <c r="J18" s="187"/>
      <c r="K18" s="187"/>
      <c r="L18" s="187"/>
      <c r="M18" s="187"/>
    </row>
    <row r="19" spans="1:13" ht="63" customHeight="1" x14ac:dyDescent="0.2">
      <c r="A19" s="1125" t="s">
        <v>4860</v>
      </c>
      <c r="B19" s="1125"/>
      <c r="C19" s="1125"/>
      <c r="D19" s="1125"/>
      <c r="E19" s="1125"/>
      <c r="F19" s="1125"/>
      <c r="G19" s="1125"/>
      <c r="H19" s="1125"/>
      <c r="I19" s="1125"/>
      <c r="J19" s="1125"/>
      <c r="K19" s="1125"/>
      <c r="L19" s="1125"/>
      <c r="M19" s="1125"/>
    </row>
    <row r="21" spans="1:13" x14ac:dyDescent="0.2">
      <c r="C21" s="5" t="s">
        <v>3634</v>
      </c>
      <c r="D21" s="1229">
        <f>'Development Team'!J37</f>
        <v>0</v>
      </c>
      <c r="E21" s="1229"/>
      <c r="F21" s="1229"/>
    </row>
    <row r="22" spans="1:13" x14ac:dyDescent="0.2">
      <c r="C22" s="5" t="s">
        <v>3636</v>
      </c>
      <c r="D22" s="188">
        <f>'Development Team'!J43</f>
        <v>0</v>
      </c>
    </row>
    <row r="23" spans="1:13" x14ac:dyDescent="0.2">
      <c r="C23" s="5" t="s">
        <v>4180</v>
      </c>
      <c r="D23" s="32">
        <f>'Budget &amp; Costs'!G239</f>
        <v>0</v>
      </c>
    </row>
    <row r="24" spans="1:13" x14ac:dyDescent="0.2">
      <c r="C24" s="5" t="s">
        <v>4181</v>
      </c>
      <c r="D24" s="169"/>
      <c r="E24" s="9" t="str">
        <f>IF(D24="Grant","Eligiblity Requirements Apply","")</f>
        <v/>
      </c>
    </row>
    <row r="25" spans="1:13" x14ac:dyDescent="0.2">
      <c r="C25" s="5" t="s">
        <v>4182</v>
      </c>
      <c r="D25" s="32">
        <f>'Budget &amp; Costs'!G240</f>
        <v>0</v>
      </c>
      <c r="E25" s="9"/>
    </row>
    <row r="26" spans="1:13" x14ac:dyDescent="0.2">
      <c r="C26" s="5" t="s">
        <v>3936</v>
      </c>
      <c r="D26" s="10">
        <f>'Project Details'!C37</f>
        <v>0</v>
      </c>
      <c r="E26" s="37"/>
    </row>
    <row r="27" spans="1:13" x14ac:dyDescent="0.2">
      <c r="C27" s="5" t="s">
        <v>3935</v>
      </c>
      <c r="D27" s="10">
        <f>'Project Details'!C35</f>
        <v>0</v>
      </c>
      <c r="E27" s="37"/>
    </row>
    <row r="28" spans="1:13" x14ac:dyDescent="0.2">
      <c r="C28" s="5" t="s">
        <v>3947</v>
      </c>
      <c r="D28" s="164"/>
      <c r="E28" s="37"/>
    </row>
    <row r="29" spans="1:13" x14ac:dyDescent="0.2">
      <c r="C29" s="5" t="s">
        <v>3637</v>
      </c>
      <c r="D29" s="10" t="str">
        <f>IF(D26="Yes",'Project Details'!C38,"N/A")</f>
        <v>N/A</v>
      </c>
    </row>
    <row r="31" spans="1:13" x14ac:dyDescent="0.2">
      <c r="C31" s="5" t="s">
        <v>4094</v>
      </c>
      <c r="D31" s="164"/>
    </row>
    <row r="32" spans="1:13" x14ac:dyDescent="0.2">
      <c r="C32" s="5" t="s">
        <v>4093</v>
      </c>
      <c r="D32" s="164"/>
      <c r="E32" s="9"/>
    </row>
    <row r="33" spans="1:13" x14ac:dyDescent="0.2">
      <c r="C33" s="5" t="s">
        <v>3635</v>
      </c>
      <c r="D33" s="164"/>
    </row>
    <row r="35" spans="1:13" x14ac:dyDescent="0.2">
      <c r="A35" s="1125" t="s">
        <v>4194</v>
      </c>
      <c r="B35" s="1125"/>
      <c r="C35" s="1125"/>
      <c r="D35" s="1125"/>
      <c r="E35" s="1125"/>
      <c r="F35" s="1125"/>
      <c r="G35" s="1125"/>
      <c r="H35" s="1125"/>
      <c r="I35" s="1125"/>
      <c r="J35" s="1125"/>
      <c r="K35" s="1125"/>
      <c r="L35" s="1125"/>
      <c r="M35" s="1125"/>
    </row>
    <row r="36" spans="1:13" ht="14.25" customHeight="1" x14ac:dyDescent="0.2">
      <c r="B36" s="1099" t="s">
        <v>3644</v>
      </c>
      <c r="C36" s="248" t="s">
        <v>3638</v>
      </c>
      <c r="D36" s="249"/>
      <c r="E36" s="164"/>
    </row>
    <row r="37" spans="1:13" x14ac:dyDescent="0.2">
      <c r="A37" s="250"/>
      <c r="B37" s="1100"/>
      <c r="C37" s="251" t="s">
        <v>3639</v>
      </c>
      <c r="D37" s="252"/>
      <c r="E37" s="164"/>
      <c r="F37" s="9" t="s">
        <v>4484</v>
      </c>
    </row>
    <row r="38" spans="1:13" x14ac:dyDescent="0.2">
      <c r="A38" s="250"/>
      <c r="B38" s="1100"/>
      <c r="C38" s="251" t="s">
        <v>4481</v>
      </c>
      <c r="D38" s="252"/>
      <c r="E38" s="164"/>
    </row>
    <row r="39" spans="1:13" x14ac:dyDescent="0.2">
      <c r="A39" s="250"/>
      <c r="B39" s="1100"/>
      <c r="C39" s="251" t="s">
        <v>4482</v>
      </c>
      <c r="D39" s="252"/>
      <c r="E39" s="164"/>
    </row>
    <row r="40" spans="1:13" ht="41.25" customHeight="1" x14ac:dyDescent="0.2">
      <c r="A40" s="250"/>
      <c r="B40" s="1100"/>
      <c r="C40" s="253" t="s">
        <v>3643</v>
      </c>
      <c r="D40" s="254"/>
      <c r="E40" s="164"/>
      <c r="F40" s="1230" t="s">
        <v>4483</v>
      </c>
      <c r="G40" s="1083"/>
      <c r="H40" s="1083"/>
      <c r="I40" s="1083"/>
      <c r="J40" s="1083"/>
      <c r="K40" s="1083"/>
      <c r="L40" s="1083"/>
      <c r="M40" s="1083"/>
    </row>
    <row r="41" spans="1:13" x14ac:dyDescent="0.2">
      <c r="A41" s="250"/>
      <c r="B41" s="1100"/>
      <c r="C41" s="255" t="s">
        <v>3640</v>
      </c>
      <c r="D41" s="256"/>
      <c r="E41" s="10" t="str">
        <f>IF((OR(AND(E37="Yes",E38="Yes"),AND(E39="Yes",E37="No"),AND(E37="No",E40="Yes"))),"Yes","No")</f>
        <v>No</v>
      </c>
      <c r="F41" s="9" t="s">
        <v>3641</v>
      </c>
    </row>
    <row r="42" spans="1:13" x14ac:dyDescent="0.2">
      <c r="A42" s="250"/>
      <c r="B42" s="1101"/>
      <c r="C42" s="257" t="s">
        <v>3642</v>
      </c>
      <c r="D42" s="258"/>
      <c r="E42" s="164"/>
    </row>
    <row r="44" spans="1:13" x14ac:dyDescent="0.2">
      <c r="C44" s="5" t="s">
        <v>3645</v>
      </c>
      <c r="E44" s="164"/>
      <c r="F44" s="9" t="str">
        <f>IF(E44="Yes","If yes, include evidence of Acquisition/Relocation Documentation","")</f>
        <v/>
      </c>
    </row>
    <row r="45" spans="1:13" x14ac:dyDescent="0.2">
      <c r="C45" s="5" t="s">
        <v>3646</v>
      </c>
      <c r="E45" s="164"/>
    </row>
    <row r="47" spans="1:13" x14ac:dyDescent="0.2">
      <c r="C47" s="5" t="s">
        <v>4356</v>
      </c>
      <c r="E47" s="190"/>
    </row>
    <row r="48" spans="1:13" ht="26.25" customHeight="1" x14ac:dyDescent="0.2"/>
    <row r="49" spans="1:13" s="197" customFormat="1" ht="24.95" customHeight="1" x14ac:dyDescent="0.2">
      <c r="A49" s="740" t="s">
        <v>3857</v>
      </c>
      <c r="B49" s="740"/>
      <c r="C49" s="187"/>
      <c r="D49" s="187"/>
      <c r="E49" s="1227" t="s">
        <v>3754</v>
      </c>
      <c r="F49" s="1227"/>
      <c r="G49" s="187"/>
      <c r="H49" s="187"/>
      <c r="I49" s="187"/>
      <c r="J49" s="187"/>
      <c r="K49" s="187"/>
      <c r="L49" s="187"/>
      <c r="M49" s="187"/>
    </row>
    <row r="50" spans="1:13" ht="51.75" customHeight="1" x14ac:dyDescent="0.2">
      <c r="A50" s="1125" t="s">
        <v>4528</v>
      </c>
      <c r="B50" s="1125"/>
      <c r="C50" s="1125"/>
      <c r="D50" s="1125"/>
      <c r="E50" s="1125"/>
      <c r="F50" s="1125"/>
      <c r="G50" s="1125"/>
      <c r="H50" s="1125"/>
      <c r="I50" s="1125"/>
      <c r="J50" s="1125"/>
      <c r="K50" s="1125"/>
      <c r="L50" s="1125"/>
      <c r="M50" s="1125"/>
    </row>
    <row r="51" spans="1:13" x14ac:dyDescent="0.2">
      <c r="C51" s="5" t="s">
        <v>3755</v>
      </c>
      <c r="D51" s="168">
        <v>0</v>
      </c>
    </row>
  </sheetData>
  <sheetProtection algorithmName="SHA-512" hashValue="TrAfJw9wRlDwF32vK/IeIixIfoVTQyPsW/wJNUk9OIslAEDDJ0eJUeZJr49mCGqX/UsK74oFB7KqHSEyTszOaw==" saltValue="pOxBQ02k+bh1p/MMqppv5A==" spinCount="100000" sheet="1" objects="1" scenarios="1"/>
  <mergeCells count="10">
    <mergeCell ref="A50:M50"/>
    <mergeCell ref="A6:M6"/>
    <mergeCell ref="D5:E5"/>
    <mergeCell ref="E18:F18"/>
    <mergeCell ref="E49:F49"/>
    <mergeCell ref="D21:F21"/>
    <mergeCell ref="A19:M19"/>
    <mergeCell ref="B36:B42"/>
    <mergeCell ref="A35:M35"/>
    <mergeCell ref="F40:M40"/>
  </mergeCells>
  <dataValidations count="5">
    <dataValidation type="list" allowBlank="1" showInputMessage="1" showErrorMessage="1" sqref="E47 D31:D33 E42 E36:E40 E44:E45" xr:uid="{00000000-0002-0000-0C00-000000000000}">
      <formula1>"Yes,No"</formula1>
    </dataValidation>
    <dataValidation type="list" allowBlank="1" showInputMessage="1" showErrorMessage="1" sqref="D24" xr:uid="{00000000-0002-0000-0C00-000001000000}">
      <formula1>"Grant,Loan"</formula1>
    </dataValidation>
    <dataValidation type="list" allowBlank="1" showInputMessage="1" showErrorMessage="1" sqref="D28" xr:uid="{00000000-0002-0000-0C00-000002000000}">
      <formula1>"OHTF,HOME,NHTF,N/A"</formula1>
    </dataValidation>
    <dataValidation type="list" allowBlank="1" showInputMessage="1" showErrorMessage="1" sqref="D9" xr:uid="{00000000-0002-0000-0C00-000003000000}">
      <formula1>"Construction to Perm, Perm, Emergency, Other"</formula1>
    </dataValidation>
    <dataValidation type="list" allowBlank="1" showInputMessage="1" showErrorMessage="1" sqref="D10" xr:uid="{00000000-0002-0000-0C00-000004000000}">
      <formula1>"2.25%, 2.5%"</formula1>
    </dataValidation>
  </dataValidations>
  <hyperlinks>
    <hyperlink ref="D5:E5" r:id="rId1" display="Click Here to Read HDL Guidelines" xr:uid="{00000000-0004-0000-0C00-000000000000}"/>
    <hyperlink ref="E49:F49" r:id="rId2" display="Click Here to Read MLP Guidelines" xr:uid="{00000000-0004-0000-0C00-000001000000}"/>
    <hyperlink ref="E18:F18" r:id="rId3" display="Click Here to Read QAP" xr:uid="{00000000-0004-0000-0C00-000002000000}"/>
    <hyperlink ref="E8" r:id="rId4" xr:uid="{00000000-0004-0000-0C00-000003000000}"/>
  </hyperlinks>
  <pageMargins left="0.7" right="0.7" top="0.75" bottom="0.75" header="0.3" footer="0.3"/>
  <pageSetup scale="52" orientation="portrait" r:id="rId5"/>
  <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L80"/>
  <sheetViews>
    <sheetView zoomScale="85" zoomScaleNormal="85" workbookViewId="0">
      <selection activeCell="F23" sqref="F23"/>
    </sheetView>
  </sheetViews>
  <sheetFormatPr defaultColWidth="9" defaultRowHeight="14.25" x14ac:dyDescent="0.2"/>
  <cols>
    <col min="1" max="1" width="4.625" style="5" customWidth="1"/>
    <col min="2" max="2" width="3.5" style="5" customWidth="1"/>
    <col min="3" max="3" width="30" style="5" customWidth="1"/>
    <col min="4" max="4" width="23.5" style="5" bestFit="1" customWidth="1"/>
    <col min="5" max="5" width="14.625" style="5" customWidth="1"/>
    <col min="6" max="7" width="14.25" style="5" bestFit="1" customWidth="1"/>
    <col min="8" max="8" width="25.625" style="5" customWidth="1"/>
    <col min="9" max="9" width="19.25" style="5" customWidth="1"/>
    <col min="10" max="10" width="9" style="5"/>
    <col min="11" max="11" width="23.75" style="5" customWidth="1"/>
    <col min="12" max="12" width="9" style="5"/>
    <col min="13" max="16384" width="9" style="191"/>
  </cols>
  <sheetData>
    <row r="1" spans="1:12" ht="54.95" customHeight="1" x14ac:dyDescent="0.2"/>
    <row r="2" spans="1:12" s="192" customFormat="1" ht="22.5" x14ac:dyDescent="0.3">
      <c r="A2" s="3" t="s">
        <v>2</v>
      </c>
      <c r="B2" s="1"/>
      <c r="C2" s="1"/>
      <c r="D2" s="1"/>
      <c r="E2" s="1"/>
      <c r="F2" s="1"/>
      <c r="G2" s="1"/>
      <c r="H2" s="1"/>
      <c r="I2" s="1"/>
      <c r="J2" s="1"/>
      <c r="K2" s="1"/>
      <c r="L2" s="1"/>
    </row>
    <row r="3" spans="1:12" s="193" customFormat="1" ht="15.75" x14ac:dyDescent="0.25">
      <c r="A3" s="4" t="s">
        <v>4297</v>
      </c>
      <c r="B3" s="2"/>
      <c r="C3" s="38">
        <f>'Project Details'!C7</f>
        <v>0</v>
      </c>
      <c r="D3" s="38"/>
      <c r="E3" s="2"/>
      <c r="F3" s="2"/>
      <c r="G3" s="2"/>
      <c r="H3" s="2"/>
      <c r="I3" s="2"/>
      <c r="J3" s="2"/>
      <c r="K3" s="2"/>
      <c r="L3" s="2"/>
    </row>
    <row r="5" spans="1:12" ht="15" x14ac:dyDescent="0.25">
      <c r="A5" s="1232" t="s">
        <v>3786</v>
      </c>
      <c r="B5" s="1232"/>
      <c r="C5" s="1232"/>
      <c r="D5" s="1232"/>
      <c r="E5" s="1232"/>
      <c r="F5" s="1232"/>
      <c r="G5" s="1232"/>
      <c r="H5" s="1232"/>
      <c r="I5" s="1232"/>
      <c r="J5" s="1232"/>
      <c r="K5" s="1232"/>
    </row>
    <row r="6" spans="1:12" x14ac:dyDescent="0.2">
      <c r="A6" s="1242" t="s">
        <v>4871</v>
      </c>
      <c r="B6" s="1242"/>
      <c r="C6" s="1242"/>
    </row>
    <row r="7" spans="1:12" ht="15" x14ac:dyDescent="0.2">
      <c r="A7" s="751"/>
      <c r="B7" s="751"/>
    </row>
    <row r="8" spans="1:12" ht="49.5" customHeight="1" x14ac:dyDescent="0.2">
      <c r="A8" s="1231" t="s">
        <v>4862</v>
      </c>
      <c r="B8" s="1231"/>
      <c r="C8" s="1231"/>
      <c r="D8" s="1231"/>
      <c r="E8" s="1231"/>
      <c r="F8" s="1231"/>
      <c r="G8" s="1231"/>
      <c r="H8" s="1231"/>
      <c r="I8" s="1231"/>
      <c r="J8" s="1231"/>
      <c r="K8" s="1231"/>
    </row>
    <row r="9" spans="1:12" s="197" customFormat="1" ht="24.95" customHeight="1" x14ac:dyDescent="0.2">
      <c r="A9" s="740" t="s">
        <v>3812</v>
      </c>
      <c r="B9" s="187"/>
      <c r="C9" s="187"/>
      <c r="D9" s="187"/>
      <c r="E9" s="187"/>
      <c r="F9" s="187"/>
      <c r="G9" s="187"/>
      <c r="H9" s="187"/>
      <c r="I9" s="187"/>
      <c r="J9" s="187"/>
      <c r="K9" s="187"/>
      <c r="L9" s="187"/>
    </row>
    <row r="10" spans="1:12" x14ac:dyDescent="0.2">
      <c r="C10" s="53" t="s">
        <v>3788</v>
      </c>
      <c r="D10" s="137"/>
    </row>
    <row r="11" spans="1:12" x14ac:dyDescent="0.2">
      <c r="C11" s="53" t="s">
        <v>3789</v>
      </c>
      <c r="D11" s="137"/>
    </row>
    <row r="12" spans="1:12" x14ac:dyDescent="0.2">
      <c r="C12" s="53" t="s">
        <v>3787</v>
      </c>
      <c r="D12" s="576"/>
    </row>
    <row r="13" spans="1:12" x14ac:dyDescent="0.2">
      <c r="C13" s="53" t="s">
        <v>3572</v>
      </c>
      <c r="D13" s="593">
        <f>'Housing Credits'!C27</f>
        <v>0</v>
      </c>
    </row>
    <row r="14" spans="1:12" x14ac:dyDescent="0.2">
      <c r="C14" s="53" t="s">
        <v>4424</v>
      </c>
      <c r="D14" s="1239">
        <f>'Housing Credits'!C69</f>
        <v>0</v>
      </c>
      <c r="E14" s="1240"/>
      <c r="F14" s="1240"/>
      <c r="G14" s="1241"/>
      <c r="H14"/>
    </row>
    <row r="16" spans="1:12" s="196" customFormat="1" ht="45" x14ac:dyDescent="0.2">
      <c r="A16" s="21"/>
      <c r="B16" s="21"/>
      <c r="C16" s="21"/>
      <c r="D16" s="57" t="s">
        <v>3333</v>
      </c>
      <c r="E16" s="57" t="s">
        <v>3790</v>
      </c>
      <c r="F16" s="57" t="s">
        <v>3335</v>
      </c>
      <c r="G16" s="57" t="s">
        <v>3791</v>
      </c>
      <c r="H16" s="21"/>
      <c r="I16" s="21"/>
      <c r="J16" s="21"/>
      <c r="K16" s="21"/>
      <c r="L16" s="21"/>
    </row>
    <row r="17" spans="3:12" ht="15" x14ac:dyDescent="0.25">
      <c r="C17" s="11" t="s">
        <v>3792</v>
      </c>
      <c r="D17" s="200"/>
      <c r="E17" s="10">
        <f>IFERROR(D17/(SUM('Budget &amp; Costs'!F327:H327)+'Budget &amp; Costs'!L254),0)</f>
        <v>0</v>
      </c>
      <c r="F17" s="259"/>
      <c r="G17" s="171"/>
    </row>
    <row r="18" spans="3:12" ht="15" x14ac:dyDescent="0.25">
      <c r="C18" s="11" t="s">
        <v>3793</v>
      </c>
      <c r="D18" s="200"/>
      <c r="E18" s="10">
        <f>IFERROR(D18/(SUM('Budget &amp; Costs'!F327:H327)+'Budget &amp; Costs'!L254),0)</f>
        <v>0</v>
      </c>
      <c r="F18" s="259"/>
      <c r="G18" s="171"/>
    </row>
    <row r="19" spans="3:12" ht="15" x14ac:dyDescent="0.25">
      <c r="C19" s="11" t="s">
        <v>3794</v>
      </c>
      <c r="D19" s="200"/>
      <c r="E19" s="10">
        <f>IFERROR(D19/(SUM('Budget &amp; Costs'!F327:H327)+'Budget &amp; Costs'!L254),0)</f>
        <v>0</v>
      </c>
      <c r="F19" s="259"/>
      <c r="G19" s="171"/>
    </row>
    <row r="20" spans="3:12" ht="15" x14ac:dyDescent="0.25">
      <c r="C20" s="11" t="s">
        <v>3080</v>
      </c>
      <c r="D20" s="200"/>
      <c r="E20" s="10">
        <f>IFERROR(D20/(SUM('Budget &amp; Costs'!F327:H327)+'Budget &amp; Costs'!L254),0)</f>
        <v>0</v>
      </c>
      <c r="F20" s="259"/>
      <c r="G20" s="171"/>
    </row>
    <row r="22" spans="3:12" x14ac:dyDescent="0.2">
      <c r="C22" s="5" t="s">
        <v>3795</v>
      </c>
      <c r="D22" s="200"/>
      <c r="E22" s="37" t="s">
        <v>3797</v>
      </c>
      <c r="F22" s="51">
        <f>IFERROR(SUM(D17:D20)/D22,0)</f>
        <v>0</v>
      </c>
    </row>
    <row r="23" spans="3:12" x14ac:dyDescent="0.2">
      <c r="C23" s="53" t="s">
        <v>3796</v>
      </c>
      <c r="D23" s="200"/>
    </row>
    <row r="25" spans="3:12" x14ac:dyDescent="0.2">
      <c r="C25" s="5" t="s">
        <v>3809</v>
      </c>
      <c r="D25" s="164" t="s">
        <v>3080</v>
      </c>
      <c r="E25" s="37" t="str">
        <f>IF(D25="Other","Describe Type","")</f>
        <v>Describe Type</v>
      </c>
      <c r="F25" s="191"/>
    </row>
    <row r="26" spans="3:12" x14ac:dyDescent="0.2">
      <c r="C26" s="5" t="s">
        <v>3810</v>
      </c>
      <c r="D26" s="200"/>
    </row>
    <row r="28" spans="3:12" x14ac:dyDescent="0.2">
      <c r="C28" s="1117" t="s">
        <v>4863</v>
      </c>
      <c r="D28" s="1118"/>
      <c r="E28" s="1118"/>
      <c r="F28" s="1118"/>
      <c r="G28" s="1118"/>
      <c r="H28" s="1118"/>
      <c r="I28" s="1118"/>
      <c r="J28" s="1118"/>
      <c r="K28" s="1118"/>
      <c r="L28" s="1119"/>
    </row>
    <row r="29" spans="3:12" ht="45" customHeight="1" x14ac:dyDescent="0.2">
      <c r="C29" s="1236"/>
      <c r="D29" s="1237"/>
      <c r="E29" s="1237"/>
      <c r="F29" s="1237"/>
      <c r="G29" s="1237"/>
      <c r="H29" s="1237"/>
      <c r="I29" s="1237"/>
      <c r="J29" s="1237"/>
      <c r="K29" s="1237"/>
      <c r="L29" s="1238"/>
    </row>
    <row r="31" spans="3:12" ht="33.75" customHeight="1" x14ac:dyDescent="0.2">
      <c r="C31" s="1117" t="s">
        <v>3811</v>
      </c>
      <c r="D31" s="1118"/>
      <c r="E31" s="1118"/>
      <c r="F31" s="1118"/>
      <c r="G31" s="1118"/>
      <c r="H31" s="1118"/>
      <c r="I31" s="1118"/>
      <c r="J31" s="1118"/>
      <c r="K31" s="1118"/>
      <c r="L31" s="1119"/>
    </row>
    <row r="32" spans="3:12" ht="45" customHeight="1" x14ac:dyDescent="0.2">
      <c r="C32" s="1236"/>
      <c r="D32" s="1237"/>
      <c r="E32" s="1237"/>
      <c r="F32" s="1237"/>
      <c r="G32" s="1237"/>
      <c r="H32" s="1237"/>
      <c r="I32" s="1237"/>
      <c r="J32" s="1237"/>
      <c r="K32" s="1237"/>
      <c r="L32" s="1238"/>
    </row>
    <row r="34" spans="1:12" s="197" customFormat="1" ht="24.95" customHeight="1" x14ac:dyDescent="0.2">
      <c r="A34" s="740" t="s">
        <v>3813</v>
      </c>
      <c r="B34" s="187"/>
      <c r="C34" s="187"/>
      <c r="D34" s="187"/>
      <c r="E34" s="187"/>
      <c r="F34" s="187"/>
      <c r="G34" s="187"/>
      <c r="H34" s="187"/>
      <c r="I34" s="187"/>
      <c r="J34" s="187"/>
      <c r="K34" s="187"/>
      <c r="L34" s="187"/>
    </row>
    <row r="35" spans="1:12" ht="15" x14ac:dyDescent="0.25">
      <c r="D35" s="16" t="s">
        <v>3814</v>
      </c>
      <c r="E35" s="16" t="s">
        <v>3815</v>
      </c>
      <c r="F35" s="16" t="s">
        <v>3816</v>
      </c>
      <c r="G35" s="16" t="s">
        <v>3817</v>
      </c>
      <c r="H35" s="13" t="s">
        <v>3107</v>
      </c>
    </row>
    <row r="36" spans="1:12" ht="15" customHeight="1" x14ac:dyDescent="0.25">
      <c r="B36" s="1233" t="s">
        <v>3827</v>
      </c>
      <c r="C36" s="11" t="s">
        <v>3818</v>
      </c>
      <c r="D36" s="208"/>
      <c r="E36" s="200"/>
      <c r="F36" s="200"/>
      <c r="G36" s="200"/>
      <c r="H36" s="50">
        <f>SUM(D36:G36)</f>
        <v>0</v>
      </c>
    </row>
    <row r="37" spans="1:12" ht="15" x14ac:dyDescent="0.25">
      <c r="B37" s="1234"/>
      <c r="C37" s="11" t="s">
        <v>3819</v>
      </c>
      <c r="D37" s="208"/>
      <c r="E37" s="200"/>
      <c r="F37" s="200"/>
      <c r="G37" s="200"/>
      <c r="H37" s="30">
        <f t="shared" ref="H37:H44" si="0">SUM(D37:G37)</f>
        <v>0</v>
      </c>
    </row>
    <row r="38" spans="1:12" ht="15" x14ac:dyDescent="0.25">
      <c r="B38" s="1234"/>
      <c r="C38" s="11" t="s">
        <v>3820</v>
      </c>
      <c r="D38" s="208"/>
      <c r="E38" s="200"/>
      <c r="F38" s="200"/>
      <c r="G38" s="200"/>
      <c r="H38" s="30">
        <f t="shared" si="0"/>
        <v>0</v>
      </c>
    </row>
    <row r="39" spans="1:12" ht="15" x14ac:dyDescent="0.25">
      <c r="B39" s="1234"/>
      <c r="C39" s="11" t="s">
        <v>3821</v>
      </c>
      <c r="D39" s="208"/>
      <c r="E39" s="200"/>
      <c r="F39" s="200"/>
      <c r="G39" s="200"/>
      <c r="H39" s="30">
        <f t="shared" si="0"/>
        <v>0</v>
      </c>
    </row>
    <row r="40" spans="1:12" ht="15" x14ac:dyDescent="0.25">
      <c r="B40" s="1234"/>
      <c r="C40" s="11" t="s">
        <v>3822</v>
      </c>
      <c r="D40" s="208"/>
      <c r="E40" s="200"/>
      <c r="F40" s="200"/>
      <c r="G40" s="200"/>
      <c r="H40" s="30">
        <f t="shared" si="0"/>
        <v>0</v>
      </c>
    </row>
    <row r="41" spans="1:12" ht="15" x14ac:dyDescent="0.25">
      <c r="B41" s="1234"/>
      <c r="C41" s="11" t="s">
        <v>3823</v>
      </c>
      <c r="D41" s="208"/>
      <c r="E41" s="200"/>
      <c r="F41" s="200"/>
      <c r="G41" s="200"/>
      <c r="H41" s="30">
        <f t="shared" si="0"/>
        <v>0</v>
      </c>
    </row>
    <row r="42" spans="1:12" ht="15" x14ac:dyDescent="0.25">
      <c r="B42" s="1234"/>
      <c r="C42" s="11" t="s">
        <v>3824</v>
      </c>
      <c r="D42" s="208"/>
      <c r="E42" s="200"/>
      <c r="F42" s="200"/>
      <c r="G42" s="200"/>
      <c r="H42" s="30">
        <f t="shared" si="0"/>
        <v>0</v>
      </c>
    </row>
    <row r="43" spans="1:12" ht="15" x14ac:dyDescent="0.25">
      <c r="B43" s="1234"/>
      <c r="C43" s="11" t="s">
        <v>3825</v>
      </c>
      <c r="D43" s="208"/>
      <c r="E43" s="200"/>
      <c r="F43" s="200"/>
      <c r="G43" s="200"/>
      <c r="H43" s="30">
        <f t="shared" si="0"/>
        <v>0</v>
      </c>
    </row>
    <row r="44" spans="1:12" ht="15" x14ac:dyDescent="0.25">
      <c r="B44" s="1234"/>
      <c r="C44" s="11" t="s">
        <v>3826</v>
      </c>
      <c r="D44" s="208"/>
      <c r="E44" s="200"/>
      <c r="F44" s="200"/>
      <c r="G44" s="200"/>
      <c r="H44" s="30">
        <f t="shared" si="0"/>
        <v>0</v>
      </c>
    </row>
    <row r="45" spans="1:12" ht="15" x14ac:dyDescent="0.25">
      <c r="B45" s="1235"/>
      <c r="C45" s="11" t="s">
        <v>3836</v>
      </c>
      <c r="D45" s="208"/>
      <c r="E45" s="208"/>
      <c r="F45" s="208"/>
      <c r="G45" s="208"/>
      <c r="H45" s="60">
        <f>SUM(H36:H44)</f>
        <v>0</v>
      </c>
    </row>
    <row r="47" spans="1:12" ht="15" x14ac:dyDescent="0.25">
      <c r="D47" s="16" t="s">
        <v>3814</v>
      </c>
      <c r="E47" s="16" t="s">
        <v>3815</v>
      </c>
      <c r="F47" s="16" t="s">
        <v>3816</v>
      </c>
      <c r="G47" s="16" t="s">
        <v>3817</v>
      </c>
      <c r="H47" s="13" t="s">
        <v>3107</v>
      </c>
    </row>
    <row r="48" spans="1:12" ht="15" x14ac:dyDescent="0.25">
      <c r="B48" s="1233" t="s">
        <v>3828</v>
      </c>
      <c r="C48" s="11" t="s">
        <v>3829</v>
      </c>
      <c r="D48" s="208"/>
      <c r="E48" s="200"/>
      <c r="F48" s="200"/>
      <c r="G48" s="200"/>
      <c r="H48" s="30">
        <f>SUM(D48:G48)</f>
        <v>0</v>
      </c>
    </row>
    <row r="49" spans="1:12" ht="15" x14ac:dyDescent="0.25">
      <c r="B49" s="1234"/>
      <c r="C49" s="11" t="s">
        <v>3830</v>
      </c>
      <c r="D49" s="208"/>
      <c r="E49" s="200"/>
      <c r="F49" s="200"/>
      <c r="G49" s="200"/>
      <c r="H49" s="30">
        <f t="shared" ref="H49:H57" si="1">SUM(D49:G49)</f>
        <v>0</v>
      </c>
    </row>
    <row r="50" spans="1:12" ht="15" x14ac:dyDescent="0.25">
      <c r="B50" s="1234"/>
      <c r="C50" s="11" t="s">
        <v>3831</v>
      </c>
      <c r="D50" s="208"/>
      <c r="E50" s="200"/>
      <c r="F50" s="200"/>
      <c r="G50" s="200"/>
      <c r="H50" s="30">
        <f t="shared" si="1"/>
        <v>0</v>
      </c>
    </row>
    <row r="51" spans="1:12" ht="15" x14ac:dyDescent="0.25">
      <c r="B51" s="1234"/>
      <c r="C51" s="11" t="s">
        <v>3832</v>
      </c>
      <c r="D51" s="208"/>
      <c r="E51" s="200"/>
      <c r="F51" s="200"/>
      <c r="G51" s="200"/>
      <c r="H51" s="30">
        <f t="shared" si="1"/>
        <v>0</v>
      </c>
    </row>
    <row r="52" spans="1:12" ht="15" x14ac:dyDescent="0.25">
      <c r="B52" s="1234"/>
      <c r="C52" s="11" t="s">
        <v>3833</v>
      </c>
      <c r="D52" s="208"/>
      <c r="E52" s="200"/>
      <c r="F52" s="200"/>
      <c r="G52" s="200"/>
      <c r="H52" s="30">
        <f t="shared" si="1"/>
        <v>0</v>
      </c>
      <c r="I52" s="9" t="s">
        <v>3835</v>
      </c>
    </row>
    <row r="53" spans="1:12" ht="15" x14ac:dyDescent="0.25">
      <c r="B53" s="1234"/>
      <c r="C53" s="11" t="s">
        <v>3834</v>
      </c>
      <c r="D53" s="208"/>
      <c r="E53" s="200"/>
      <c r="F53" s="200"/>
      <c r="G53" s="200"/>
      <c r="H53" s="30">
        <f t="shared" si="1"/>
        <v>0</v>
      </c>
    </row>
    <row r="54" spans="1:12" ht="15" x14ac:dyDescent="0.25">
      <c r="B54" s="1234"/>
      <c r="C54" s="11" t="s">
        <v>3303</v>
      </c>
      <c r="D54" s="208"/>
      <c r="E54" s="200"/>
      <c r="F54" s="200"/>
      <c r="G54" s="200"/>
      <c r="H54" s="30">
        <f t="shared" si="1"/>
        <v>0</v>
      </c>
    </row>
    <row r="55" spans="1:12" ht="15" x14ac:dyDescent="0.25">
      <c r="B55" s="1234"/>
      <c r="C55" s="11" t="s">
        <v>3304</v>
      </c>
      <c r="D55" s="208"/>
      <c r="E55" s="200"/>
      <c r="F55" s="200"/>
      <c r="G55" s="200"/>
      <c r="H55" s="30">
        <f t="shared" si="1"/>
        <v>0</v>
      </c>
    </row>
    <row r="56" spans="1:12" ht="15" x14ac:dyDescent="0.25">
      <c r="B56" s="1234"/>
      <c r="C56" s="11" t="s">
        <v>3306</v>
      </c>
      <c r="D56" s="208"/>
      <c r="E56" s="200"/>
      <c r="F56" s="200"/>
      <c r="G56" s="200"/>
      <c r="H56" s="30">
        <f t="shared" si="1"/>
        <v>0</v>
      </c>
    </row>
    <row r="57" spans="1:12" ht="15" x14ac:dyDescent="0.25">
      <c r="B57" s="1235"/>
      <c r="C57" s="11" t="s">
        <v>3836</v>
      </c>
      <c r="D57" s="208"/>
      <c r="E57" s="208"/>
      <c r="F57" s="208"/>
      <c r="G57" s="208"/>
      <c r="H57" s="30">
        <f t="shared" si="1"/>
        <v>0</v>
      </c>
    </row>
    <row r="59" spans="1:12" s="197" customFormat="1" ht="24.95" customHeight="1" x14ac:dyDescent="0.2">
      <c r="A59" s="740" t="s">
        <v>3837</v>
      </c>
      <c r="B59" s="187"/>
      <c r="C59" s="187"/>
      <c r="D59" s="187"/>
      <c r="E59" s="187"/>
      <c r="F59" s="187"/>
      <c r="G59" s="187"/>
      <c r="H59" s="187"/>
      <c r="I59" s="187"/>
      <c r="J59" s="187"/>
      <c r="K59" s="187"/>
      <c r="L59" s="187"/>
    </row>
    <row r="60" spans="1:12" ht="15" x14ac:dyDescent="0.25">
      <c r="D60" s="16" t="s">
        <v>3847</v>
      </c>
      <c r="E60" s="16" t="s">
        <v>3814</v>
      </c>
      <c r="F60" s="16" t="s">
        <v>3815</v>
      </c>
      <c r="G60" s="16" t="s">
        <v>3816</v>
      </c>
      <c r="H60" s="16" t="s">
        <v>3817</v>
      </c>
      <c r="I60" s="16" t="s">
        <v>3107</v>
      </c>
      <c r="K60" s="191"/>
    </row>
    <row r="61" spans="1:12" ht="15" x14ac:dyDescent="0.25">
      <c r="C61" s="11" t="s">
        <v>3838</v>
      </c>
      <c r="D61" s="18" t="e">
        <f>IF(I61="",0,(E61+F61)/($D$17+$D$18))</f>
        <v>#DIV/0!</v>
      </c>
      <c r="E61" s="200"/>
      <c r="F61" s="200"/>
      <c r="G61" s="200"/>
      <c r="H61" s="200"/>
      <c r="I61" s="30">
        <f>SUM(E61:H61)</f>
        <v>0</v>
      </c>
      <c r="K61" s="191"/>
    </row>
    <row r="62" spans="1:12" ht="15" x14ac:dyDescent="0.25">
      <c r="C62" s="11" t="s">
        <v>3839</v>
      </c>
      <c r="D62" s="18" t="e">
        <f t="shared" ref="D62:D78" si="2">IF(I62="",0,(E62+F62)/($D$17+$D$18))</f>
        <v>#DIV/0!</v>
      </c>
      <c r="E62" s="200"/>
      <c r="F62" s="200"/>
      <c r="G62" s="200"/>
      <c r="H62" s="200"/>
      <c r="I62" s="30">
        <f t="shared" ref="I62:I79" si="3">SUM(E62:H62)</f>
        <v>0</v>
      </c>
      <c r="K62" s="191"/>
    </row>
    <row r="63" spans="1:12" ht="15" x14ac:dyDescent="0.25">
      <c r="C63" s="11" t="s">
        <v>3848</v>
      </c>
      <c r="D63" s="18" t="e">
        <f t="shared" si="2"/>
        <v>#DIV/0!</v>
      </c>
      <c r="E63" s="200"/>
      <c r="F63" s="200"/>
      <c r="G63" s="200"/>
      <c r="H63" s="200"/>
      <c r="I63" s="30">
        <f t="shared" si="3"/>
        <v>0</v>
      </c>
      <c r="K63" s="191"/>
    </row>
    <row r="64" spans="1:12" ht="15" x14ac:dyDescent="0.25">
      <c r="C64" s="11" t="s">
        <v>3844</v>
      </c>
      <c r="D64" s="18" t="e">
        <f t="shared" si="2"/>
        <v>#DIV/0!</v>
      </c>
      <c r="E64" s="200"/>
      <c r="F64" s="200"/>
      <c r="G64" s="200"/>
      <c r="H64" s="200"/>
      <c r="I64" s="30">
        <f t="shared" si="3"/>
        <v>0</v>
      </c>
      <c r="K64" s="191"/>
    </row>
    <row r="65" spans="3:11" ht="15" x14ac:dyDescent="0.25">
      <c r="C65" s="11" t="s">
        <v>3849</v>
      </c>
      <c r="D65" s="18" t="e">
        <f t="shared" si="2"/>
        <v>#DIV/0!</v>
      </c>
      <c r="E65" s="200"/>
      <c r="F65" s="200"/>
      <c r="G65" s="200"/>
      <c r="H65" s="200"/>
      <c r="I65" s="30">
        <f t="shared" si="3"/>
        <v>0</v>
      </c>
      <c r="K65" s="191"/>
    </row>
    <row r="66" spans="3:11" ht="15" x14ac:dyDescent="0.25">
      <c r="C66" s="11" t="s">
        <v>3850</v>
      </c>
      <c r="D66" s="18" t="e">
        <f t="shared" si="2"/>
        <v>#DIV/0!</v>
      </c>
      <c r="E66" s="200"/>
      <c r="F66" s="200"/>
      <c r="G66" s="200"/>
      <c r="H66" s="200"/>
      <c r="I66" s="30">
        <f t="shared" si="3"/>
        <v>0</v>
      </c>
      <c r="K66" s="191"/>
    </row>
    <row r="67" spans="3:11" ht="15" x14ac:dyDescent="0.25">
      <c r="C67" s="11" t="s">
        <v>3851</v>
      </c>
      <c r="D67" s="18" t="e">
        <f t="shared" si="2"/>
        <v>#DIV/0!</v>
      </c>
      <c r="E67" s="200"/>
      <c r="F67" s="200"/>
      <c r="G67" s="200"/>
      <c r="H67" s="200"/>
      <c r="I67" s="30">
        <f t="shared" si="3"/>
        <v>0</v>
      </c>
      <c r="K67" s="191"/>
    </row>
    <row r="68" spans="3:11" ht="15" x14ac:dyDescent="0.25">
      <c r="C68" s="11" t="s">
        <v>3846</v>
      </c>
      <c r="D68" s="18" t="e">
        <f t="shared" si="2"/>
        <v>#DIV/0!</v>
      </c>
      <c r="E68" s="200"/>
      <c r="F68" s="200"/>
      <c r="G68" s="200"/>
      <c r="H68" s="200"/>
      <c r="I68" s="30">
        <f t="shared" si="3"/>
        <v>0</v>
      </c>
      <c r="K68" s="191"/>
    </row>
    <row r="69" spans="3:11" ht="15" x14ac:dyDescent="0.25">
      <c r="C69" s="11" t="s">
        <v>3845</v>
      </c>
      <c r="D69" s="18" t="e">
        <f t="shared" si="2"/>
        <v>#DIV/0!</v>
      </c>
      <c r="E69" s="200"/>
      <c r="F69" s="200"/>
      <c r="G69" s="200"/>
      <c r="H69" s="200"/>
      <c r="I69" s="30">
        <f t="shared" si="3"/>
        <v>0</v>
      </c>
      <c r="K69" s="191"/>
    </row>
    <row r="70" spans="3:11" ht="15" x14ac:dyDescent="0.25">
      <c r="C70" s="11" t="s">
        <v>3852</v>
      </c>
      <c r="D70" s="18" t="e">
        <f t="shared" si="2"/>
        <v>#DIV/0!</v>
      </c>
      <c r="E70" s="200"/>
      <c r="F70" s="200"/>
      <c r="G70" s="200"/>
      <c r="H70" s="200"/>
      <c r="I70" s="30">
        <f t="shared" si="3"/>
        <v>0</v>
      </c>
      <c r="K70" s="191"/>
    </row>
    <row r="71" spans="3:11" ht="15" x14ac:dyDescent="0.25">
      <c r="C71" s="11" t="s">
        <v>3314</v>
      </c>
      <c r="D71" s="18" t="e">
        <f t="shared" si="2"/>
        <v>#DIV/0!</v>
      </c>
      <c r="E71" s="200"/>
      <c r="F71" s="200"/>
      <c r="G71" s="200"/>
      <c r="H71" s="200"/>
      <c r="I71" s="30">
        <f t="shared" si="3"/>
        <v>0</v>
      </c>
      <c r="J71" s="5" t="str">
        <f>IF(I71&gt;0,"Describe","")</f>
        <v/>
      </c>
      <c r="K71" s="191"/>
    </row>
    <row r="72" spans="3:11" ht="15" x14ac:dyDescent="0.25">
      <c r="C72" s="11" t="s">
        <v>3314</v>
      </c>
      <c r="D72" s="18" t="e">
        <f t="shared" si="2"/>
        <v>#DIV/0!</v>
      </c>
      <c r="E72" s="200"/>
      <c r="F72" s="200"/>
      <c r="G72" s="200"/>
      <c r="H72" s="200"/>
      <c r="I72" s="30">
        <f t="shared" si="3"/>
        <v>0</v>
      </c>
      <c r="J72" s="5" t="str">
        <f>IF(I72&gt;0,"Describe","")</f>
        <v/>
      </c>
      <c r="K72" s="191"/>
    </row>
    <row r="73" spans="3:11" ht="15" x14ac:dyDescent="0.25">
      <c r="C73" s="11" t="s">
        <v>3314</v>
      </c>
      <c r="D73" s="18" t="e">
        <f t="shared" si="2"/>
        <v>#DIV/0!</v>
      </c>
      <c r="E73" s="200"/>
      <c r="F73" s="200"/>
      <c r="G73" s="200"/>
      <c r="H73" s="200"/>
      <c r="I73" s="30">
        <f t="shared" si="3"/>
        <v>0</v>
      </c>
      <c r="J73" s="5" t="str">
        <f>IF(I73&gt;0,"Describe","")</f>
        <v/>
      </c>
      <c r="K73" s="191"/>
    </row>
    <row r="74" spans="3:11" ht="15" x14ac:dyDescent="0.25">
      <c r="C74" s="11" t="s">
        <v>3854</v>
      </c>
      <c r="D74" s="18" t="e">
        <f t="shared" si="2"/>
        <v>#DIV/0!</v>
      </c>
      <c r="E74" s="200"/>
      <c r="F74" s="200"/>
      <c r="G74" s="200"/>
      <c r="H74" s="200"/>
      <c r="I74" s="30">
        <f t="shared" si="3"/>
        <v>0</v>
      </c>
      <c r="K74" s="191"/>
    </row>
    <row r="75" spans="3:11" ht="15" x14ac:dyDescent="0.25">
      <c r="C75" s="11" t="s">
        <v>3840</v>
      </c>
      <c r="D75" s="18" t="e">
        <f t="shared" si="2"/>
        <v>#DIV/0!</v>
      </c>
      <c r="E75" s="200"/>
      <c r="F75" s="200"/>
      <c r="G75" s="200"/>
      <c r="H75" s="200"/>
      <c r="I75" s="30">
        <f t="shared" si="3"/>
        <v>0</v>
      </c>
      <c r="K75" s="191"/>
    </row>
    <row r="76" spans="3:11" ht="15" x14ac:dyDescent="0.25">
      <c r="C76" s="11" t="s">
        <v>3841</v>
      </c>
      <c r="D76" s="18" t="e">
        <f t="shared" si="2"/>
        <v>#DIV/0!</v>
      </c>
      <c r="E76" s="200"/>
      <c r="F76" s="200"/>
      <c r="G76" s="200"/>
      <c r="H76" s="200"/>
      <c r="I76" s="30">
        <f t="shared" si="3"/>
        <v>0</v>
      </c>
      <c r="K76" s="191"/>
    </row>
    <row r="77" spans="3:11" ht="15" x14ac:dyDescent="0.25">
      <c r="C77" s="11" t="s">
        <v>3842</v>
      </c>
      <c r="D77" s="18" t="e">
        <f t="shared" si="2"/>
        <v>#DIV/0!</v>
      </c>
      <c r="E77" s="200"/>
      <c r="F77" s="200"/>
      <c r="G77" s="200"/>
      <c r="H77" s="200"/>
      <c r="I77" s="30">
        <f t="shared" si="3"/>
        <v>0</v>
      </c>
      <c r="K77" s="191"/>
    </row>
    <row r="78" spans="3:11" ht="15" x14ac:dyDescent="0.25">
      <c r="C78" s="11" t="s">
        <v>3843</v>
      </c>
      <c r="D78" s="18" t="e">
        <f t="shared" si="2"/>
        <v>#DIV/0!</v>
      </c>
      <c r="E78" s="200"/>
      <c r="F78" s="200"/>
      <c r="G78" s="200"/>
      <c r="H78" s="200"/>
      <c r="I78" s="30">
        <f t="shared" si="3"/>
        <v>0</v>
      </c>
      <c r="K78" s="191"/>
    </row>
    <row r="79" spans="3:11" ht="15" x14ac:dyDescent="0.25">
      <c r="C79" s="11" t="s">
        <v>3853</v>
      </c>
      <c r="D79" s="17"/>
      <c r="E79" s="30">
        <f>SUM(E62:E78)</f>
        <v>0</v>
      </c>
      <c r="F79" s="30">
        <f>SUM(F62:F78)</f>
        <v>0</v>
      </c>
      <c r="G79" s="30">
        <f>SUM(G62:G78)</f>
        <v>0</v>
      </c>
      <c r="H79" s="30">
        <f>SUM(H62:H78)</f>
        <v>0</v>
      </c>
      <c r="I79" s="30">
        <f t="shared" si="3"/>
        <v>0</v>
      </c>
      <c r="K79" s="191"/>
    </row>
    <row r="80" spans="3:11" ht="15" x14ac:dyDescent="0.25">
      <c r="C80" s="11" t="s">
        <v>3107</v>
      </c>
      <c r="D80" s="61" t="e">
        <f>SUM(D61:D79)</f>
        <v>#DIV/0!</v>
      </c>
      <c r="E80" s="30">
        <f>E79+E61</f>
        <v>0</v>
      </c>
      <c r="F80" s="30">
        <f>F79+F61</f>
        <v>0</v>
      </c>
      <c r="G80" s="30">
        <f>G79+G61</f>
        <v>0</v>
      </c>
      <c r="H80" s="30">
        <f>H79+H61</f>
        <v>0</v>
      </c>
      <c r="I80" s="30">
        <f>I79+I61</f>
        <v>0</v>
      </c>
      <c r="K80" s="191"/>
    </row>
  </sheetData>
  <sheetProtection algorithmName="SHA-512" hashValue="Q+YRzUrWmXRRc1BN+nXG8Uv6QlSn1UHBTeX83U/NFgfzCYXMjh8DiW5rNKEpC5NstW4L8pJiLsDRhEVW8AKQKQ==" saltValue="ticM3ZWxDlLSbvhMv4hRpg==" spinCount="100000" sheet="1" objects="1" scenarios="1"/>
  <mergeCells count="10">
    <mergeCell ref="A8:K8"/>
    <mergeCell ref="A5:K5"/>
    <mergeCell ref="B36:B45"/>
    <mergeCell ref="B48:B57"/>
    <mergeCell ref="C28:L28"/>
    <mergeCell ref="C29:L29"/>
    <mergeCell ref="C31:L31"/>
    <mergeCell ref="C32:L32"/>
    <mergeCell ref="D14:G14"/>
    <mergeCell ref="A6:C6"/>
  </mergeCells>
  <conditionalFormatting sqref="F25">
    <cfRule type="expression" dxfId="88" priority="3">
      <formula>$D$25="Other"</formula>
    </cfRule>
  </conditionalFormatting>
  <conditionalFormatting sqref="J71:J73">
    <cfRule type="expression" dxfId="87" priority="2">
      <formula>$I71&gt;0</formula>
    </cfRule>
  </conditionalFormatting>
  <conditionalFormatting sqref="K71:K73">
    <cfRule type="expression" dxfId="86" priority="1">
      <formula>$I71&gt;0</formula>
    </cfRule>
  </conditionalFormatting>
  <dataValidations count="4">
    <dataValidation type="list" allowBlank="1" showInputMessage="1" showErrorMessage="1" sqref="D12" xr:uid="{00000000-0002-0000-0D00-000000000000}">
      <formula1>"Yes,No"</formula1>
    </dataValidation>
    <dataValidation type="list" allowBlank="1" showInputMessage="1" showErrorMessage="1" sqref="D10" xr:uid="{00000000-0002-0000-0D00-000001000000}">
      <formula1>"New Issue, Refunder, Supplemental Issue"</formula1>
    </dataValidation>
    <dataValidation type="list" allowBlank="1" showInputMessage="1" showErrorMessage="1" sqref="D11" xr:uid="{00000000-0002-0000-0D00-000002000000}">
      <formula1>"Private Activity Volume Cap, 501C3,Other (Taxable)"</formula1>
    </dataValidation>
    <dataValidation type="list" allowBlank="1" showInputMessage="1" showErrorMessage="1" sqref="D25" xr:uid="{00000000-0002-0000-0D00-000003000000}">
      <formula1>"FHA,Private Placement, Letter of Credit, Other"</formula1>
    </dataValidation>
  </dataValidations>
  <hyperlinks>
    <hyperlink ref="A6" r:id="rId1" xr:uid="{00000000-0004-0000-0D00-000000000000}"/>
  </hyperlinks>
  <pageMargins left="0.7" right="0.7" top="0.75" bottom="0.75" header="0.3" footer="0.3"/>
  <pageSetup scale="42" orientation="portrait" r:id="rId2"/>
  <ignoredErrors>
    <ignoredError sqref="D13" evalError="1"/>
  </ignoredErrors>
  <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M136"/>
  <sheetViews>
    <sheetView zoomScale="85" zoomScaleNormal="85" zoomScalePageLayoutView="70" workbookViewId="0">
      <selection activeCell="D50" sqref="A1:XFD1048576"/>
    </sheetView>
  </sheetViews>
  <sheetFormatPr defaultRowHeight="14.25" x14ac:dyDescent="0.2"/>
  <cols>
    <col min="1" max="1" width="7.875" customWidth="1"/>
    <col min="2" max="2" width="32.375" customWidth="1"/>
    <col min="3" max="3" width="35.625" customWidth="1"/>
    <col min="4" max="4" width="25.875" customWidth="1"/>
    <col min="5" max="5" width="19.5" customWidth="1"/>
    <col min="6" max="6" width="20.125" customWidth="1"/>
    <col min="7" max="7" width="18" customWidth="1"/>
    <col min="8" max="8" width="17.625" bestFit="1" customWidth="1"/>
    <col min="9" max="9" width="9.25" bestFit="1" customWidth="1"/>
    <col min="10" max="10" width="17.625" customWidth="1"/>
    <col min="11" max="11" width="12.25" customWidth="1"/>
  </cols>
  <sheetData>
    <row r="1" spans="1:13" s="5" customFormat="1" ht="54.95" customHeight="1" x14ac:dyDescent="0.2"/>
    <row r="2" spans="1:13" s="192" customFormat="1" ht="22.5" x14ac:dyDescent="0.3">
      <c r="A2" s="3" t="s">
        <v>4444</v>
      </c>
      <c r="B2" s="246"/>
      <c r="C2" s="1"/>
      <c r="D2" s="1"/>
      <c r="E2" s="1"/>
      <c r="F2" s="1"/>
      <c r="G2" s="1"/>
      <c r="H2" s="1"/>
      <c r="I2" s="1"/>
      <c r="J2" s="1"/>
      <c r="K2" s="1"/>
      <c r="L2" s="1"/>
      <c r="M2" s="1"/>
    </row>
    <row r="3" spans="1:13" s="193" customFormat="1" ht="15.75" x14ac:dyDescent="0.25">
      <c r="A3" s="4" t="s">
        <v>4297</v>
      </c>
      <c r="B3" s="38">
        <f>'Project Details'!C7</f>
        <v>0</v>
      </c>
      <c r="C3" s="38"/>
      <c r="D3" s="38"/>
      <c r="E3" s="2"/>
      <c r="F3" s="2"/>
      <c r="G3" s="2"/>
      <c r="H3" s="2"/>
      <c r="I3" s="2"/>
      <c r="J3" s="2"/>
      <c r="K3" s="2"/>
      <c r="L3" s="2"/>
      <c r="M3" s="2"/>
    </row>
    <row r="4" spans="1:13" ht="18.75" x14ac:dyDescent="0.3">
      <c r="A4" s="790" t="s">
        <v>5914</v>
      </c>
      <c r="B4" s="5"/>
      <c r="C4" s="5"/>
      <c r="D4" s="5"/>
      <c r="E4" s="5"/>
      <c r="F4" s="5"/>
      <c r="G4" s="5"/>
      <c r="H4" s="5"/>
      <c r="I4" s="5"/>
      <c r="J4" s="5"/>
    </row>
    <row r="5" spans="1:13" x14ac:dyDescent="0.2">
      <c r="A5" s="5"/>
      <c r="B5" s="5"/>
      <c r="C5" s="5"/>
      <c r="D5" s="5"/>
      <c r="E5" s="5"/>
      <c r="F5" s="5"/>
      <c r="G5" s="5"/>
      <c r="H5" s="5"/>
      <c r="I5" s="5"/>
      <c r="J5" s="5"/>
    </row>
    <row r="6" spans="1:13" x14ac:dyDescent="0.2">
      <c r="A6" s="5"/>
      <c r="B6" s="37" t="s">
        <v>3764</v>
      </c>
      <c r="C6" s="166"/>
      <c r="D6" s="5"/>
      <c r="E6" s="5"/>
      <c r="F6" s="5"/>
      <c r="G6" s="5"/>
      <c r="H6" s="5"/>
      <c r="I6" s="5"/>
      <c r="J6" s="5"/>
    </row>
    <row r="7" spans="1:13" x14ac:dyDescent="0.2">
      <c r="A7" s="5"/>
      <c r="B7" s="37" t="s">
        <v>4445</v>
      </c>
      <c r="C7" s="166"/>
      <c r="D7" s="5"/>
      <c r="E7" s="5"/>
      <c r="F7" s="5"/>
      <c r="G7" s="5"/>
      <c r="H7" s="5"/>
      <c r="I7" s="5"/>
      <c r="J7" s="5"/>
    </row>
    <row r="8" spans="1:13" x14ac:dyDescent="0.2">
      <c r="A8" s="5"/>
      <c r="B8" s="37" t="s">
        <v>4446</v>
      </c>
      <c r="C8" s="166"/>
      <c r="D8" s="5"/>
      <c r="E8" s="5"/>
      <c r="F8" s="5"/>
      <c r="G8" s="5"/>
      <c r="H8" s="5"/>
      <c r="I8" s="5"/>
      <c r="J8" s="5"/>
    </row>
    <row r="9" spans="1:13" x14ac:dyDescent="0.2">
      <c r="A9" s="5"/>
      <c r="B9" s="37" t="s">
        <v>3073</v>
      </c>
      <c r="C9" s="166"/>
      <c r="D9" s="5"/>
      <c r="E9" s="5"/>
      <c r="F9" s="5"/>
      <c r="G9" s="5"/>
      <c r="H9" s="5"/>
      <c r="I9" s="5"/>
      <c r="J9" s="5"/>
    </row>
    <row r="10" spans="1:13" x14ac:dyDescent="0.2">
      <c r="A10" s="5"/>
      <c r="B10" s="37" t="s">
        <v>3070</v>
      </c>
      <c r="C10" s="166"/>
      <c r="D10" s="5"/>
      <c r="E10" s="5"/>
      <c r="F10" s="5"/>
      <c r="G10" s="5"/>
      <c r="H10" s="5"/>
      <c r="I10" s="5"/>
      <c r="J10" s="5"/>
    </row>
    <row r="11" spans="1:13" x14ac:dyDescent="0.2">
      <c r="A11" s="5"/>
      <c r="B11" s="37" t="s">
        <v>4447</v>
      </c>
      <c r="C11" s="166"/>
      <c r="D11" s="5"/>
      <c r="E11" s="5"/>
      <c r="F11" s="5"/>
      <c r="G11" s="5"/>
      <c r="H11" s="5"/>
      <c r="I11" s="5"/>
      <c r="J11" s="5"/>
    </row>
    <row r="12" spans="1:13" x14ac:dyDescent="0.2">
      <c r="A12" s="5"/>
      <c r="B12" s="37" t="s">
        <v>3099</v>
      </c>
      <c r="C12" s="166"/>
      <c r="D12" s="5"/>
      <c r="E12" s="5"/>
      <c r="F12" s="5"/>
      <c r="G12" s="5"/>
      <c r="H12" s="5"/>
      <c r="I12" s="5"/>
      <c r="J12" s="5"/>
    </row>
    <row r="13" spans="1:13" x14ac:dyDescent="0.2">
      <c r="A13" s="5"/>
      <c r="B13" s="5"/>
      <c r="C13" s="5"/>
      <c r="D13" s="5"/>
      <c r="E13" s="5"/>
      <c r="F13" s="5"/>
      <c r="G13" s="5"/>
      <c r="H13" s="5"/>
      <c r="I13" s="5"/>
      <c r="J13" s="5"/>
    </row>
    <row r="14" spans="1:13" ht="22.5" customHeight="1" x14ac:dyDescent="0.25">
      <c r="A14" s="653" t="s">
        <v>4692</v>
      </c>
      <c r="B14" s="651"/>
      <c r="C14" s="651"/>
      <c r="D14" s="652"/>
      <c r="E14" s="652"/>
      <c r="F14" s="659"/>
      <c r="G14" s="660"/>
      <c r="H14" s="660"/>
      <c r="I14" s="660"/>
      <c r="J14" s="5"/>
    </row>
    <row r="15" spans="1:13" x14ac:dyDescent="0.2">
      <c r="A15" s="5"/>
      <c r="B15" s="5"/>
      <c r="C15" s="5"/>
      <c r="D15" s="5"/>
      <c r="E15" s="5"/>
      <c r="F15" s="5"/>
      <c r="G15" s="5"/>
      <c r="H15" s="5"/>
      <c r="I15" s="5"/>
      <c r="J15" s="5"/>
    </row>
    <row r="16" spans="1:13" x14ac:dyDescent="0.2">
      <c r="A16" s="5"/>
      <c r="B16" s="1044" t="s">
        <v>4703</v>
      </c>
      <c r="C16" s="1044"/>
      <c r="D16" s="1044"/>
      <c r="E16" s="1044"/>
      <c r="F16" s="1044"/>
      <c r="G16" s="1044"/>
      <c r="H16" s="1044"/>
      <c r="I16" s="5"/>
      <c r="J16" s="5"/>
    </row>
    <row r="17" spans="1:10" ht="18" customHeight="1" x14ac:dyDescent="0.2">
      <c r="A17" s="5"/>
      <c r="B17" s="1044"/>
      <c r="C17" s="1044"/>
      <c r="D17" s="1044"/>
      <c r="E17" s="1044"/>
      <c r="F17" s="1044"/>
      <c r="G17" s="1044"/>
      <c r="H17" s="1044"/>
      <c r="I17" s="5"/>
      <c r="J17" s="5"/>
    </row>
    <row r="18" spans="1:10" ht="18" customHeight="1" x14ac:dyDescent="0.2">
      <c r="A18" s="5"/>
      <c r="B18" s="377" t="s">
        <v>4704</v>
      </c>
      <c r="C18" s="369"/>
      <c r="D18" s="369"/>
      <c r="E18" s="369"/>
      <c r="F18" s="369"/>
      <c r="G18" s="369"/>
      <c r="H18" s="369"/>
      <c r="I18" s="5"/>
      <c r="J18" s="5"/>
    </row>
    <row r="19" spans="1:10" x14ac:dyDescent="0.2">
      <c r="A19" s="5"/>
      <c r="B19" s="668"/>
      <c r="C19" s="369"/>
      <c r="D19" s="369"/>
      <c r="E19" s="369"/>
      <c r="F19" s="369"/>
      <c r="G19" s="369"/>
      <c r="H19" s="369"/>
      <c r="I19" s="5"/>
      <c r="J19" s="5"/>
    </row>
    <row r="20" spans="1:10" x14ac:dyDescent="0.2">
      <c r="A20" s="5"/>
      <c r="B20" s="5"/>
      <c r="C20" s="5"/>
      <c r="D20" s="5"/>
      <c r="E20" s="5"/>
      <c r="F20" s="5"/>
      <c r="G20" s="5"/>
      <c r="H20" s="5"/>
      <c r="I20" s="5"/>
      <c r="J20" s="5"/>
    </row>
    <row r="21" spans="1:10" ht="14.25" customHeight="1" x14ac:dyDescent="0.2">
      <c r="A21" s="5"/>
      <c r="B21" s="377" t="s">
        <v>4448</v>
      </c>
      <c r="C21" s="191"/>
      <c r="D21" s="191"/>
      <c r="E21" s="196"/>
      <c r="F21" s="196"/>
      <c r="G21" s="5"/>
      <c r="H21" s="5"/>
      <c r="I21" s="5"/>
      <c r="J21" s="5"/>
    </row>
    <row r="22" spans="1:10" x14ac:dyDescent="0.2">
      <c r="A22" s="5"/>
      <c r="B22" s="655"/>
      <c r="C22" s="654"/>
      <c r="D22" s="5"/>
      <c r="E22" s="5"/>
      <c r="F22" s="5"/>
      <c r="G22" s="5"/>
      <c r="H22" s="5"/>
      <c r="I22" s="5"/>
      <c r="J22" s="5"/>
    </row>
    <row r="23" spans="1:10" x14ac:dyDescent="0.2">
      <c r="A23" s="5"/>
      <c r="B23" s="378"/>
      <c r="C23" s="379"/>
      <c r="D23" s="379"/>
      <c r="E23" s="379"/>
      <c r="F23" s="379"/>
      <c r="G23" s="5"/>
      <c r="H23" s="5"/>
      <c r="I23" s="5"/>
      <c r="J23" s="5"/>
    </row>
    <row r="24" spans="1:10" ht="14.25" customHeight="1" x14ac:dyDescent="0.2">
      <c r="A24" s="5"/>
      <c r="B24" s="661" t="s">
        <v>4685</v>
      </c>
      <c r="C24" s="654"/>
      <c r="D24" s="654"/>
      <c r="E24" s="654"/>
      <c r="F24" s="654"/>
      <c r="G24" s="5"/>
      <c r="H24" s="5"/>
      <c r="I24" s="5"/>
      <c r="J24" s="5"/>
    </row>
    <row r="25" spans="1:10" ht="15" x14ac:dyDescent="0.25">
      <c r="A25" s="5"/>
      <c r="B25" s="657" t="s">
        <v>4696</v>
      </c>
      <c r="C25" s="656"/>
      <c r="D25" s="5"/>
      <c r="E25" s="373"/>
      <c r="F25" s="373"/>
      <c r="G25" s="5"/>
      <c r="H25" s="5"/>
      <c r="I25" s="5"/>
      <c r="J25" s="5"/>
    </row>
    <row r="26" spans="1:10" ht="15" x14ac:dyDescent="0.25">
      <c r="A26" s="5"/>
      <c r="B26" s="657" t="s">
        <v>4695</v>
      </c>
      <c r="C26" s="656"/>
      <c r="D26" s="5"/>
      <c r="E26" s="373"/>
      <c r="F26" s="373"/>
      <c r="G26" s="5"/>
      <c r="H26" s="5"/>
      <c r="I26" s="5"/>
      <c r="J26" s="5"/>
    </row>
    <row r="27" spans="1:10" ht="15" x14ac:dyDescent="0.25">
      <c r="A27" s="5"/>
      <c r="B27" s="658" t="s">
        <v>4693</v>
      </c>
      <c r="C27" s="1015"/>
      <c r="D27" s="5"/>
      <c r="E27" s="373"/>
      <c r="F27" s="373"/>
      <c r="G27" s="5"/>
      <c r="H27" s="5"/>
      <c r="I27" s="5"/>
      <c r="J27" s="5"/>
    </row>
    <row r="28" spans="1:10" ht="15" x14ac:dyDescent="0.25">
      <c r="A28" s="5"/>
      <c r="B28" s="657" t="s">
        <v>4694</v>
      </c>
      <c r="C28" s="656"/>
      <c r="D28" s="5"/>
      <c r="E28" s="373"/>
      <c r="F28" s="373"/>
      <c r="G28" s="5"/>
      <c r="H28" s="5"/>
      <c r="I28" s="5"/>
      <c r="J28" s="5"/>
    </row>
    <row r="29" spans="1:10" x14ac:dyDescent="0.2">
      <c r="A29" s="5"/>
      <c r="B29" s="5"/>
      <c r="C29" s="5"/>
      <c r="D29" s="5"/>
      <c r="E29" s="5"/>
      <c r="F29" s="5"/>
      <c r="G29" s="5"/>
      <c r="H29" s="5"/>
      <c r="I29" s="5"/>
      <c r="J29" s="5"/>
    </row>
    <row r="30" spans="1:10" x14ac:dyDescent="0.2">
      <c r="A30" s="5"/>
      <c r="B30" s="662" t="s">
        <v>4697</v>
      </c>
      <c r="C30" s="5"/>
      <c r="D30" s="5"/>
      <c r="E30" s="5"/>
      <c r="F30" s="5"/>
      <c r="G30" s="5"/>
      <c r="H30" s="5"/>
      <c r="I30" s="5"/>
      <c r="J30" s="5"/>
    </row>
    <row r="31" spans="1:10" ht="31.5" customHeight="1" x14ac:dyDescent="0.2">
      <c r="A31" s="5"/>
      <c r="B31" s="57" t="s">
        <v>4686</v>
      </c>
      <c r="C31" s="57" t="s">
        <v>4687</v>
      </c>
      <c r="D31" s="57" t="s">
        <v>4688</v>
      </c>
      <c r="E31" s="57" t="s">
        <v>4689</v>
      </c>
      <c r="F31" s="57" t="s">
        <v>4690</v>
      </c>
      <c r="G31" s="57" t="s">
        <v>4691</v>
      </c>
      <c r="H31" s="57" t="s">
        <v>3110</v>
      </c>
      <c r="I31" s="57" t="s">
        <v>3106</v>
      </c>
      <c r="J31" s="5"/>
    </row>
    <row r="32" spans="1:10" ht="14.25" customHeight="1" x14ac:dyDescent="0.2">
      <c r="A32" s="5"/>
      <c r="B32" s="171"/>
      <c r="C32" s="171"/>
      <c r="D32" s="171"/>
      <c r="E32" s="171"/>
      <c r="F32" s="141"/>
      <c r="G32" s="171"/>
      <c r="H32" s="190"/>
      <c r="I32" s="171"/>
      <c r="J32" s="5"/>
    </row>
    <row r="33" spans="1:10" ht="14.25" customHeight="1" x14ac:dyDescent="0.2">
      <c r="A33" s="5"/>
      <c r="B33" s="171"/>
      <c r="C33" s="171"/>
      <c r="D33" s="171"/>
      <c r="E33" s="171"/>
      <c r="F33" s="141"/>
      <c r="G33" s="171"/>
      <c r="H33" s="190"/>
      <c r="I33" s="171"/>
      <c r="J33" s="5"/>
    </row>
    <row r="34" spans="1:10" ht="14.25" customHeight="1" x14ac:dyDescent="0.2">
      <c r="A34" s="5"/>
      <c r="B34" s="171"/>
      <c r="C34" s="171"/>
      <c r="D34" s="171"/>
      <c r="E34" s="171"/>
      <c r="F34" s="141"/>
      <c r="G34" s="171"/>
      <c r="H34" s="190"/>
      <c r="I34" s="171"/>
      <c r="J34" s="5"/>
    </row>
    <row r="35" spans="1:10" ht="14.25" customHeight="1" x14ac:dyDescent="0.2">
      <c r="A35" s="5"/>
      <c r="B35" s="171"/>
      <c r="C35" s="171"/>
      <c r="D35" s="171"/>
      <c r="E35" s="171"/>
      <c r="F35" s="141"/>
      <c r="G35" s="171"/>
      <c r="H35" s="190"/>
      <c r="I35" s="171"/>
      <c r="J35" s="5"/>
    </row>
    <row r="36" spans="1:10" ht="14.25" customHeight="1" x14ac:dyDescent="0.2">
      <c r="A36" s="5"/>
      <c r="B36" s="171"/>
      <c r="C36" s="171"/>
      <c r="D36" s="171"/>
      <c r="E36" s="171"/>
      <c r="F36" s="141"/>
      <c r="G36" s="171"/>
      <c r="H36" s="190"/>
      <c r="I36" s="171"/>
      <c r="J36" s="5"/>
    </row>
    <row r="37" spans="1:10" ht="14.25" customHeight="1" x14ac:dyDescent="0.2">
      <c r="A37" s="5"/>
      <c r="B37" s="171"/>
      <c r="C37" s="171"/>
      <c r="D37" s="171"/>
      <c r="E37" s="171"/>
      <c r="F37" s="141"/>
      <c r="G37" s="171"/>
      <c r="H37" s="190"/>
      <c r="I37" s="171"/>
      <c r="J37" s="5"/>
    </row>
    <row r="38" spans="1:10" ht="14.25" customHeight="1" x14ac:dyDescent="0.2">
      <c r="A38" s="5"/>
      <c r="B38" s="171"/>
      <c r="C38" s="171"/>
      <c r="D38" s="171"/>
      <c r="E38" s="171"/>
      <c r="F38" s="141"/>
      <c r="G38" s="171"/>
      <c r="H38" s="190"/>
      <c r="I38" s="171"/>
      <c r="J38" s="5"/>
    </row>
    <row r="39" spans="1:10" ht="14.25" customHeight="1" x14ac:dyDescent="0.2">
      <c r="A39" s="5"/>
      <c r="B39" s="171"/>
      <c r="C39" s="171"/>
      <c r="D39" s="171"/>
      <c r="E39" s="171"/>
      <c r="F39" s="141"/>
      <c r="G39" s="171"/>
      <c r="H39" s="190"/>
      <c r="I39" s="171"/>
      <c r="J39" s="5"/>
    </row>
    <row r="40" spans="1:10" ht="14.25" customHeight="1" x14ac:dyDescent="0.2">
      <c r="A40" s="5"/>
      <c r="B40" s="171"/>
      <c r="C40" s="171"/>
      <c r="D40" s="171"/>
      <c r="E40" s="171"/>
      <c r="F40" s="141"/>
      <c r="G40" s="171"/>
      <c r="H40" s="190"/>
      <c r="I40" s="171"/>
      <c r="J40" s="5"/>
    </row>
    <row r="41" spans="1:10" x14ac:dyDescent="0.2">
      <c r="A41" s="5"/>
      <c r="G41" s="5"/>
      <c r="H41" s="5"/>
      <c r="I41" s="5"/>
      <c r="J41" s="5"/>
    </row>
    <row r="42" spans="1:10" ht="14.25" customHeight="1" x14ac:dyDescent="0.2">
      <c r="A42" s="5"/>
      <c r="B42" s="661" t="s">
        <v>4698</v>
      </c>
      <c r="C42" s="654"/>
      <c r="D42" s="654"/>
      <c r="E42" s="654"/>
      <c r="F42" s="654"/>
      <c r="G42" s="5"/>
      <c r="H42" s="5"/>
      <c r="I42" s="5"/>
      <c r="J42" s="5"/>
    </row>
    <row r="43" spans="1:10" ht="19.5" customHeight="1" x14ac:dyDescent="0.2">
      <c r="A43" s="5"/>
      <c r="B43" s="654"/>
      <c r="C43" s="654"/>
      <c r="D43" s="654"/>
      <c r="E43" s="654"/>
      <c r="F43" s="654"/>
      <c r="G43" s="5"/>
      <c r="H43" s="5"/>
      <c r="I43" s="5"/>
      <c r="J43" s="5"/>
    </row>
    <row r="44" spans="1:10" ht="15" customHeight="1" x14ac:dyDescent="0.2">
      <c r="A44" s="5"/>
      <c r="B44" s="1205" t="s">
        <v>4450</v>
      </c>
      <c r="C44" s="1244"/>
      <c r="D44" s="1244"/>
      <c r="E44" s="1244"/>
      <c r="F44" s="1244"/>
      <c r="G44" s="5"/>
      <c r="H44" s="5"/>
      <c r="I44" s="5"/>
      <c r="J44" s="5"/>
    </row>
    <row r="45" spans="1:10" x14ac:dyDescent="0.2">
      <c r="A45" s="5"/>
      <c r="B45" s="1244"/>
      <c r="C45" s="1244"/>
      <c r="D45" s="1244"/>
      <c r="E45" s="1244"/>
      <c r="F45" s="1244"/>
      <c r="G45" s="5"/>
      <c r="H45" s="5"/>
      <c r="I45" s="5"/>
      <c r="J45" s="5"/>
    </row>
    <row r="46" spans="1:10" x14ac:dyDescent="0.2">
      <c r="A46" s="5"/>
      <c r="B46" s="1244"/>
      <c r="C46" s="1244"/>
      <c r="D46" s="1244"/>
      <c r="E46" s="1244"/>
      <c r="F46" s="1244"/>
      <c r="G46" s="5"/>
      <c r="H46" s="5"/>
      <c r="I46" s="5"/>
      <c r="J46" s="5"/>
    </row>
    <row r="47" spans="1:10" x14ac:dyDescent="0.2">
      <c r="A47" s="5"/>
      <c r="B47" s="1244"/>
      <c r="C47" s="1244"/>
      <c r="D47" s="1244"/>
      <c r="E47" s="1244"/>
      <c r="F47" s="1244"/>
      <c r="G47" s="5"/>
      <c r="H47" s="5"/>
      <c r="I47" s="5"/>
      <c r="J47" s="5"/>
    </row>
    <row r="48" spans="1:10" x14ac:dyDescent="0.2">
      <c r="A48" s="5"/>
      <c r="B48" s="1244"/>
      <c r="C48" s="1244"/>
      <c r="D48" s="1244"/>
      <c r="E48" s="1244"/>
      <c r="F48" s="1244"/>
      <c r="G48" s="5"/>
      <c r="H48" s="5"/>
      <c r="I48" s="5"/>
      <c r="J48" s="5"/>
    </row>
    <row r="49" spans="1:10" x14ac:dyDescent="0.2">
      <c r="A49" s="5"/>
      <c r="B49" s="1244"/>
      <c r="C49" s="1244"/>
      <c r="D49" s="1244"/>
      <c r="E49" s="1244"/>
      <c r="F49" s="1244"/>
      <c r="G49" s="5"/>
      <c r="H49" s="5"/>
      <c r="I49" s="5"/>
      <c r="J49" s="5"/>
    </row>
    <row r="50" spans="1:10" x14ac:dyDescent="0.2">
      <c r="A50" s="5"/>
      <c r="B50" s="5"/>
      <c r="C50" s="5"/>
      <c r="D50" s="5"/>
      <c r="E50" s="5"/>
      <c r="F50" s="5"/>
      <c r="G50" s="5"/>
      <c r="H50" s="5"/>
      <c r="I50" s="5"/>
      <c r="J50" s="5"/>
    </row>
    <row r="51" spans="1:10" x14ac:dyDescent="0.2">
      <c r="A51" s="5"/>
      <c r="B51" s="1245" t="s">
        <v>4449</v>
      </c>
      <c r="C51" s="1245"/>
      <c r="D51" s="1245"/>
      <c r="E51" s="1245"/>
      <c r="F51" s="1245"/>
      <c r="G51" s="5"/>
      <c r="H51" s="5"/>
      <c r="I51" s="5"/>
      <c r="J51" s="5"/>
    </row>
    <row r="52" spans="1:10" ht="32.25" customHeight="1" x14ac:dyDescent="0.2">
      <c r="A52" s="5"/>
      <c r="B52" s="1245"/>
      <c r="C52" s="1245"/>
      <c r="D52" s="1245"/>
      <c r="E52" s="1245"/>
      <c r="F52" s="1245"/>
      <c r="G52" s="5"/>
      <c r="H52" s="5"/>
      <c r="I52" s="5"/>
      <c r="J52" s="5"/>
    </row>
    <row r="53" spans="1:10" ht="15" customHeight="1" x14ac:dyDescent="0.2">
      <c r="A53" s="5"/>
      <c r="B53" s="1205" t="s">
        <v>4450</v>
      </c>
      <c r="C53" s="1205"/>
      <c r="D53" s="1205"/>
      <c r="E53" s="1205"/>
      <c r="F53" s="1205"/>
      <c r="G53" s="5"/>
      <c r="H53" s="5"/>
      <c r="I53" s="5"/>
      <c r="J53" s="5"/>
    </row>
    <row r="54" spans="1:10" x14ac:dyDescent="0.2">
      <c r="A54" s="5"/>
      <c r="B54" s="1205"/>
      <c r="C54" s="1205"/>
      <c r="D54" s="1205"/>
      <c r="E54" s="1205"/>
      <c r="F54" s="1205"/>
      <c r="G54" s="5"/>
      <c r="H54" s="5"/>
      <c r="I54" s="5"/>
      <c r="J54" s="5"/>
    </row>
    <row r="55" spans="1:10" x14ac:dyDescent="0.2">
      <c r="A55" s="5"/>
      <c r="B55" s="1205"/>
      <c r="C55" s="1205"/>
      <c r="D55" s="1205"/>
      <c r="E55" s="1205"/>
      <c r="F55" s="1205"/>
      <c r="G55" s="5"/>
      <c r="H55" s="5"/>
      <c r="I55" s="5"/>
      <c r="J55" s="5"/>
    </row>
    <row r="56" spans="1:10" x14ac:dyDescent="0.2">
      <c r="A56" s="5"/>
      <c r="B56" s="1205"/>
      <c r="C56" s="1205"/>
      <c r="D56" s="1205"/>
      <c r="E56" s="1205"/>
      <c r="F56" s="1205"/>
      <c r="G56" s="5"/>
      <c r="H56" s="5"/>
      <c r="I56" s="5"/>
      <c r="J56" s="5"/>
    </row>
    <row r="57" spans="1:10" x14ac:dyDescent="0.2">
      <c r="A57" s="5"/>
      <c r="B57" s="1205"/>
      <c r="C57" s="1205"/>
      <c r="D57" s="1205"/>
      <c r="E57" s="1205"/>
      <c r="F57" s="1205"/>
      <c r="G57" s="5"/>
      <c r="H57" s="5"/>
      <c r="I57" s="5"/>
      <c r="J57" s="5"/>
    </row>
    <row r="58" spans="1:10" x14ac:dyDescent="0.2">
      <c r="A58" s="5"/>
      <c r="B58" s="1205"/>
      <c r="C58" s="1205"/>
      <c r="D58" s="1205"/>
      <c r="E58" s="1205"/>
      <c r="F58" s="1205"/>
      <c r="G58" s="5"/>
      <c r="H58" s="5"/>
      <c r="I58" s="5"/>
      <c r="J58" s="5"/>
    </row>
    <row r="59" spans="1:10" x14ac:dyDescent="0.2">
      <c r="A59" s="5"/>
      <c r="B59" s="5"/>
      <c r="C59" s="5"/>
      <c r="D59" s="5"/>
      <c r="E59" s="5"/>
      <c r="F59" s="5"/>
      <c r="G59" s="5"/>
      <c r="H59" s="5"/>
      <c r="I59" s="5"/>
      <c r="J59" s="5"/>
    </row>
    <row r="60" spans="1:10" ht="14.25" customHeight="1" x14ac:dyDescent="0.2">
      <c r="A60" s="5"/>
      <c r="B60" s="661" t="s">
        <v>4451</v>
      </c>
      <c r="C60" s="654"/>
      <c r="D60" s="654"/>
      <c r="E60" s="654"/>
      <c r="F60" s="654"/>
      <c r="G60" s="5"/>
      <c r="H60" s="5"/>
      <c r="I60" s="5"/>
      <c r="J60" s="5"/>
    </row>
    <row r="61" spans="1:10" ht="15.75" customHeight="1" x14ac:dyDescent="0.2">
      <c r="A61" s="5"/>
      <c r="B61" s="663"/>
      <c r="C61" s="663"/>
      <c r="D61" s="663"/>
      <c r="E61" s="663"/>
      <c r="F61" s="663"/>
      <c r="G61" s="5"/>
      <c r="H61" s="5"/>
      <c r="I61" s="5"/>
      <c r="J61" s="5"/>
    </row>
    <row r="62" spans="1:10" ht="15" customHeight="1" x14ac:dyDescent="0.2">
      <c r="A62" s="5"/>
      <c r="B62" s="1205" t="s">
        <v>4450</v>
      </c>
      <c r="C62" s="1205"/>
      <c r="D62" s="1205"/>
      <c r="E62" s="1205"/>
      <c r="F62" s="1205"/>
      <c r="G62" s="5"/>
      <c r="H62" s="5"/>
      <c r="I62" s="5"/>
      <c r="J62" s="5"/>
    </row>
    <row r="63" spans="1:10" x14ac:dyDescent="0.2">
      <c r="A63" s="5"/>
      <c r="B63" s="1205"/>
      <c r="C63" s="1205"/>
      <c r="D63" s="1205"/>
      <c r="E63" s="1205"/>
      <c r="F63" s="1205"/>
      <c r="G63" s="5"/>
      <c r="H63" s="5"/>
      <c r="I63" s="5"/>
      <c r="J63" s="5"/>
    </row>
    <row r="64" spans="1:10" x14ac:dyDescent="0.2">
      <c r="A64" s="5"/>
      <c r="B64" s="1205"/>
      <c r="C64" s="1205"/>
      <c r="D64" s="1205"/>
      <c r="E64" s="1205"/>
      <c r="F64" s="1205"/>
      <c r="G64" s="5"/>
      <c r="H64" s="5"/>
      <c r="I64" s="5"/>
      <c r="J64" s="5"/>
    </row>
    <row r="65" spans="1:10" x14ac:dyDescent="0.2">
      <c r="A65" s="5"/>
      <c r="B65" s="1205"/>
      <c r="C65" s="1205"/>
      <c r="D65" s="1205"/>
      <c r="E65" s="1205"/>
      <c r="F65" s="1205"/>
      <c r="G65" s="5"/>
      <c r="H65" s="5"/>
      <c r="I65" s="5"/>
      <c r="J65" s="5"/>
    </row>
    <row r="66" spans="1:10" x14ac:dyDescent="0.2">
      <c r="A66" s="5"/>
      <c r="B66" s="1205"/>
      <c r="C66" s="1205"/>
      <c r="D66" s="1205"/>
      <c r="E66" s="1205"/>
      <c r="F66" s="1205"/>
      <c r="G66" s="5"/>
      <c r="H66" s="5"/>
      <c r="I66" s="5"/>
      <c r="J66" s="5"/>
    </row>
    <row r="67" spans="1:10" x14ac:dyDescent="0.2">
      <c r="A67" s="5"/>
      <c r="B67" s="1205"/>
      <c r="C67" s="1205"/>
      <c r="D67" s="1205"/>
      <c r="E67" s="1205"/>
      <c r="F67" s="1205"/>
      <c r="G67" s="5"/>
      <c r="H67" s="5"/>
      <c r="I67" s="5"/>
      <c r="J67" s="5"/>
    </row>
    <row r="68" spans="1:10" x14ac:dyDescent="0.2">
      <c r="A68" s="5"/>
      <c r="B68" s="5"/>
      <c r="C68" s="5"/>
      <c r="D68" s="5"/>
      <c r="E68" s="5"/>
      <c r="F68" s="5"/>
      <c r="G68" s="5"/>
      <c r="H68" s="5"/>
      <c r="I68" s="5"/>
      <c r="J68" s="5"/>
    </row>
    <row r="69" spans="1:10" x14ac:dyDescent="0.2">
      <c r="A69" s="5"/>
      <c r="B69" s="661" t="s">
        <v>4699</v>
      </c>
      <c r="C69" s="654"/>
      <c r="D69" s="654"/>
      <c r="E69" s="654"/>
      <c r="F69" s="654"/>
      <c r="G69" s="5"/>
      <c r="H69" s="5"/>
      <c r="I69" s="5"/>
      <c r="J69" s="5"/>
    </row>
    <row r="70" spans="1:10" x14ac:dyDescent="0.2">
      <c r="A70" s="5"/>
      <c r="B70" s="663"/>
      <c r="C70" s="663"/>
      <c r="D70" s="663"/>
      <c r="E70" s="663"/>
      <c r="F70" s="663"/>
      <c r="G70" s="5"/>
      <c r="H70" s="5"/>
      <c r="I70" s="5"/>
      <c r="J70" s="5"/>
    </row>
    <row r="71" spans="1:10" ht="15" customHeight="1" x14ac:dyDescent="0.2">
      <c r="A71" s="5"/>
      <c r="B71" s="1205" t="s">
        <v>4452</v>
      </c>
      <c r="C71" s="1205"/>
      <c r="D71" s="1205"/>
      <c r="E71" s="1205"/>
      <c r="F71" s="1205"/>
      <c r="G71" s="5"/>
      <c r="H71" s="5"/>
      <c r="I71" s="5"/>
      <c r="J71" s="5"/>
    </row>
    <row r="72" spans="1:10" x14ac:dyDescent="0.2">
      <c r="A72" s="5"/>
      <c r="B72" s="1205"/>
      <c r="C72" s="1205"/>
      <c r="D72" s="1205"/>
      <c r="E72" s="1205"/>
      <c r="F72" s="1205"/>
      <c r="G72" s="5"/>
      <c r="H72" s="5"/>
      <c r="I72" s="5"/>
      <c r="J72" s="5"/>
    </row>
    <row r="73" spans="1:10" x14ac:dyDescent="0.2">
      <c r="A73" s="5"/>
      <c r="B73" s="1205"/>
      <c r="C73" s="1205"/>
      <c r="D73" s="1205"/>
      <c r="E73" s="1205"/>
      <c r="F73" s="1205"/>
      <c r="G73" s="5"/>
      <c r="H73" s="5"/>
      <c r="I73" s="5"/>
      <c r="J73" s="5"/>
    </row>
    <row r="74" spans="1:10" x14ac:dyDescent="0.2">
      <c r="A74" s="5"/>
      <c r="B74" s="1205"/>
      <c r="C74" s="1205"/>
      <c r="D74" s="1205"/>
      <c r="E74" s="1205"/>
      <c r="F74" s="1205"/>
      <c r="G74" s="5"/>
      <c r="H74" s="5"/>
      <c r="I74" s="5"/>
      <c r="J74" s="5"/>
    </row>
    <row r="75" spans="1:10" x14ac:dyDescent="0.2">
      <c r="A75" s="5"/>
      <c r="B75" s="1205"/>
      <c r="C75" s="1205"/>
      <c r="D75" s="1205"/>
      <c r="E75" s="1205"/>
      <c r="F75" s="1205"/>
      <c r="G75" s="5"/>
      <c r="H75" s="5"/>
      <c r="I75" s="5"/>
      <c r="J75" s="5"/>
    </row>
    <row r="76" spans="1:10" x14ac:dyDescent="0.2">
      <c r="A76" s="5"/>
      <c r="B76" s="1205"/>
      <c r="C76" s="1205"/>
      <c r="D76" s="1205"/>
      <c r="E76" s="1205"/>
      <c r="F76" s="1205"/>
      <c r="G76" s="5"/>
      <c r="H76" s="5"/>
      <c r="I76" s="5"/>
      <c r="J76" s="5"/>
    </row>
    <row r="77" spans="1:10" x14ac:dyDescent="0.2">
      <c r="A77" s="5"/>
      <c r="B77" s="5"/>
      <c r="C77" s="5"/>
      <c r="D77" s="5"/>
      <c r="E77" s="5"/>
      <c r="F77" s="5"/>
      <c r="G77" s="5"/>
      <c r="H77" s="5"/>
      <c r="I77" s="5"/>
      <c r="J77" s="5"/>
    </row>
    <row r="78" spans="1:10" ht="14.25" customHeight="1" x14ac:dyDescent="0.2">
      <c r="A78" s="5"/>
      <c r="B78" s="661" t="s">
        <v>4700</v>
      </c>
      <c r="C78" s="654"/>
      <c r="D78" s="654"/>
      <c r="E78" s="654"/>
      <c r="F78" s="654"/>
      <c r="G78" s="5"/>
      <c r="H78" s="5"/>
      <c r="I78" s="5"/>
      <c r="J78" s="5"/>
    </row>
    <row r="79" spans="1:10" x14ac:dyDescent="0.2">
      <c r="A79" s="5"/>
      <c r="B79" s="654"/>
      <c r="C79" s="654"/>
      <c r="D79" s="654"/>
      <c r="E79" s="654"/>
      <c r="F79" s="654"/>
      <c r="G79" s="5"/>
      <c r="H79" s="5"/>
      <c r="I79" s="5"/>
      <c r="J79" s="5"/>
    </row>
    <row r="80" spans="1:10" x14ac:dyDescent="0.2">
      <c r="A80" s="5"/>
      <c r="B80" s="5"/>
      <c r="C80" s="5"/>
      <c r="D80" s="5"/>
      <c r="E80" s="5"/>
      <c r="F80" s="5"/>
      <c r="G80" s="5"/>
      <c r="H80" s="5"/>
      <c r="I80" s="5"/>
      <c r="J80" s="5"/>
    </row>
    <row r="81" spans="1:10" x14ac:dyDescent="0.2">
      <c r="A81" s="5"/>
      <c r="B81" s="5"/>
      <c r="C81" s="5"/>
      <c r="D81" s="5"/>
      <c r="E81" s="5"/>
      <c r="F81" s="5"/>
      <c r="G81" s="5"/>
      <c r="H81" s="5"/>
      <c r="I81" s="5"/>
      <c r="J81" s="5"/>
    </row>
    <row r="82" spans="1:10" x14ac:dyDescent="0.2">
      <c r="A82" s="5"/>
      <c r="B82" s="5"/>
      <c r="C82" s="5"/>
      <c r="D82" s="5"/>
      <c r="E82" s="5"/>
      <c r="F82" s="5"/>
      <c r="G82" s="5"/>
      <c r="H82" s="5"/>
      <c r="I82" s="5"/>
      <c r="J82" s="5"/>
    </row>
    <row r="83" spans="1:10" x14ac:dyDescent="0.2">
      <c r="A83" s="5"/>
      <c r="B83" s="5"/>
      <c r="C83" s="5"/>
      <c r="D83" s="5"/>
      <c r="E83" s="5"/>
      <c r="F83" s="5"/>
      <c r="G83" s="5"/>
      <c r="H83" s="5"/>
      <c r="I83" s="5"/>
      <c r="J83" s="5"/>
    </row>
    <row r="84" spans="1:10" x14ac:dyDescent="0.2">
      <c r="A84" s="5"/>
      <c r="B84" s="5"/>
      <c r="C84" s="5"/>
      <c r="D84" s="5"/>
      <c r="E84" s="5"/>
      <c r="F84" s="5"/>
      <c r="G84" s="5"/>
      <c r="H84" s="5"/>
      <c r="I84" s="5"/>
      <c r="J84" s="5"/>
    </row>
    <row r="85" spans="1:10" x14ac:dyDescent="0.2">
      <c r="A85" s="5"/>
      <c r="B85" s="5"/>
      <c r="C85" s="5"/>
      <c r="D85" s="5"/>
      <c r="E85" s="5"/>
      <c r="F85" s="5"/>
      <c r="G85" s="5"/>
      <c r="H85" s="5"/>
      <c r="I85" s="5"/>
      <c r="J85" s="5"/>
    </row>
    <row r="86" spans="1:10" x14ac:dyDescent="0.2">
      <c r="A86" s="5"/>
      <c r="B86" s="5"/>
      <c r="C86" s="5"/>
      <c r="D86" s="5"/>
      <c r="E86" s="5"/>
      <c r="F86" s="5"/>
      <c r="G86" s="5"/>
      <c r="H86" s="5"/>
      <c r="I86" s="5"/>
      <c r="J86" s="5"/>
    </row>
    <row r="87" spans="1:10" x14ac:dyDescent="0.2">
      <c r="A87" s="5"/>
      <c r="B87" s="5"/>
      <c r="C87" s="5"/>
      <c r="D87" s="5"/>
      <c r="E87" s="5"/>
      <c r="F87" s="5"/>
      <c r="G87" s="5"/>
      <c r="H87" s="5"/>
      <c r="I87" s="5"/>
      <c r="J87" s="5"/>
    </row>
    <row r="88" spans="1:10" ht="18" x14ac:dyDescent="0.25">
      <c r="A88" s="653" t="s">
        <v>4701</v>
      </c>
      <c r="B88" s="651"/>
      <c r="C88" s="651"/>
      <c r="D88" s="652"/>
      <c r="E88" s="652"/>
      <c r="F88" s="659"/>
      <c r="G88" s="660"/>
      <c r="H88" s="660"/>
      <c r="I88" s="660"/>
      <c r="J88" s="5"/>
    </row>
    <row r="89" spans="1:10" x14ac:dyDescent="0.2">
      <c r="A89" s="5"/>
      <c r="B89" s="5"/>
      <c r="C89" s="5"/>
      <c r="D89" s="5"/>
      <c r="E89" s="5"/>
      <c r="F89" s="5"/>
      <c r="G89" s="5"/>
      <c r="H89" s="5"/>
      <c r="I89" s="5"/>
      <c r="J89" s="5"/>
    </row>
    <row r="90" spans="1:10" x14ac:dyDescent="0.2">
      <c r="A90" s="5"/>
      <c r="B90" s="666" t="s">
        <v>4453</v>
      </c>
      <c r="C90" s="664"/>
      <c r="D90" s="664"/>
      <c r="E90" s="664"/>
      <c r="F90" s="664"/>
      <c r="G90" s="5"/>
      <c r="H90" s="5"/>
      <c r="I90" s="5"/>
      <c r="J90" s="5"/>
    </row>
    <row r="91" spans="1:10" x14ac:dyDescent="0.2">
      <c r="A91" s="5"/>
      <c r="B91" s="665"/>
      <c r="C91" s="665"/>
      <c r="D91" s="665"/>
      <c r="E91" s="665"/>
      <c r="F91" s="665"/>
      <c r="G91" s="5"/>
      <c r="H91" s="5"/>
      <c r="I91" s="5"/>
      <c r="J91" s="5"/>
    </row>
    <row r="92" spans="1:10" ht="15" customHeight="1" x14ac:dyDescent="0.2">
      <c r="A92" s="5"/>
      <c r="B92" s="1205" t="s">
        <v>4454</v>
      </c>
      <c r="C92" s="1205"/>
      <c r="D92" s="1205"/>
      <c r="E92" s="1205"/>
      <c r="F92" s="1205"/>
      <c r="G92" s="5"/>
      <c r="H92" s="5"/>
      <c r="I92" s="5"/>
      <c r="J92" s="5"/>
    </row>
    <row r="93" spans="1:10" x14ac:dyDescent="0.2">
      <c r="A93" s="5"/>
      <c r="B93" s="1205"/>
      <c r="C93" s="1205"/>
      <c r="D93" s="1205"/>
      <c r="E93" s="1205"/>
      <c r="F93" s="1205"/>
      <c r="G93" s="5"/>
      <c r="H93" s="5"/>
      <c r="I93" s="5"/>
      <c r="J93" s="5"/>
    </row>
    <row r="94" spans="1:10" x14ac:dyDescent="0.2">
      <c r="A94" s="5"/>
      <c r="B94" s="1205"/>
      <c r="C94" s="1205"/>
      <c r="D94" s="1205"/>
      <c r="E94" s="1205"/>
      <c r="F94" s="1205"/>
      <c r="G94" s="5"/>
      <c r="H94" s="5"/>
      <c r="I94" s="5"/>
      <c r="J94" s="5"/>
    </row>
    <row r="95" spans="1:10" x14ac:dyDescent="0.2">
      <c r="A95" s="5"/>
      <c r="B95" s="1205"/>
      <c r="C95" s="1205"/>
      <c r="D95" s="1205"/>
      <c r="E95" s="1205"/>
      <c r="F95" s="1205"/>
      <c r="G95" s="5"/>
      <c r="H95" s="5"/>
      <c r="I95" s="5"/>
    </row>
    <row r="96" spans="1:10" x14ac:dyDescent="0.2">
      <c r="A96" s="5"/>
      <c r="B96" s="1205"/>
      <c r="C96" s="1205"/>
      <c r="D96" s="1205"/>
      <c r="E96" s="1205"/>
      <c r="F96" s="1205"/>
      <c r="G96" s="5"/>
      <c r="H96" s="5"/>
      <c r="I96" s="5"/>
    </row>
    <row r="97" spans="1:9" x14ac:dyDescent="0.2">
      <c r="A97" s="5"/>
      <c r="B97" s="1205"/>
      <c r="C97" s="1205"/>
      <c r="D97" s="1205"/>
      <c r="E97" s="1205"/>
      <c r="F97" s="1205"/>
      <c r="G97" s="5"/>
      <c r="H97" s="5"/>
      <c r="I97" s="5"/>
    </row>
    <row r="98" spans="1:9" x14ac:dyDescent="0.2">
      <c r="A98" s="5"/>
      <c r="B98" s="5"/>
      <c r="C98" s="5"/>
      <c r="D98" s="5"/>
      <c r="E98" s="5"/>
      <c r="F98" s="5"/>
      <c r="G98" s="5"/>
      <c r="H98" s="5"/>
      <c r="I98" s="5"/>
    </row>
    <row r="99" spans="1:9" x14ac:dyDescent="0.2">
      <c r="A99" s="5"/>
      <c r="B99" s="1245" t="s">
        <v>4455</v>
      </c>
      <c r="C99" s="1245"/>
      <c r="D99" s="1245"/>
      <c r="E99" s="1245"/>
      <c r="F99" s="1245"/>
      <c r="G99" s="5"/>
      <c r="H99" s="5"/>
      <c r="I99" s="5"/>
    </row>
    <row r="100" spans="1:9" ht="15" customHeight="1" x14ac:dyDescent="0.2">
      <c r="A100" s="5"/>
      <c r="B100" s="1205"/>
      <c r="C100" s="1205"/>
      <c r="D100" s="1205"/>
      <c r="E100" s="1205"/>
      <c r="F100" s="1205"/>
      <c r="G100" s="5"/>
      <c r="H100" s="5"/>
      <c r="I100" s="5"/>
    </row>
    <row r="101" spans="1:9" x14ac:dyDescent="0.2">
      <c r="A101" s="5"/>
      <c r="B101" s="1205"/>
      <c r="C101" s="1205"/>
      <c r="D101" s="1205"/>
      <c r="E101" s="1205"/>
      <c r="F101" s="1205"/>
      <c r="G101" s="5"/>
      <c r="H101" s="5"/>
      <c r="I101" s="5"/>
    </row>
    <row r="102" spans="1:9" x14ac:dyDescent="0.2">
      <c r="A102" s="5"/>
      <c r="B102" s="1205"/>
      <c r="C102" s="1205"/>
      <c r="D102" s="1205"/>
      <c r="E102" s="1205"/>
      <c r="F102" s="1205"/>
      <c r="G102" s="5"/>
      <c r="H102" s="5"/>
      <c r="I102" s="5"/>
    </row>
    <row r="103" spans="1:9" x14ac:dyDescent="0.2">
      <c r="A103" s="5"/>
      <c r="B103" s="1205"/>
      <c r="C103" s="1205"/>
      <c r="D103" s="1205"/>
      <c r="E103" s="1205"/>
      <c r="F103" s="1205"/>
      <c r="G103" s="5"/>
      <c r="H103" s="5"/>
      <c r="I103" s="5"/>
    </row>
    <row r="104" spans="1:9" x14ac:dyDescent="0.2">
      <c r="A104" s="5"/>
      <c r="B104" s="1205"/>
      <c r="C104" s="1205"/>
      <c r="D104" s="1205"/>
      <c r="E104" s="1205"/>
      <c r="F104" s="1205"/>
      <c r="G104" s="5"/>
      <c r="H104" s="5"/>
      <c r="I104" s="5"/>
    </row>
    <row r="105" spans="1:9" x14ac:dyDescent="0.2">
      <c r="A105" s="5"/>
      <c r="B105" s="1205"/>
      <c r="C105" s="1205"/>
      <c r="D105" s="1205"/>
      <c r="E105" s="1205"/>
      <c r="F105" s="1205"/>
      <c r="G105" s="5"/>
      <c r="H105" s="5"/>
      <c r="I105" s="5"/>
    </row>
    <row r="106" spans="1:9" x14ac:dyDescent="0.2">
      <c r="A106" s="5"/>
      <c r="B106" s="5"/>
      <c r="C106" s="5"/>
      <c r="D106" s="5"/>
      <c r="E106" s="5"/>
      <c r="F106" s="5"/>
      <c r="G106" s="5"/>
      <c r="H106" s="5"/>
      <c r="I106" s="5"/>
    </row>
    <row r="107" spans="1:9" x14ac:dyDescent="0.2">
      <c r="A107" s="5"/>
      <c r="B107" s="1245" t="s">
        <v>4456</v>
      </c>
      <c r="C107" s="1245"/>
      <c r="D107" s="1245"/>
      <c r="E107" s="1245"/>
      <c r="F107" s="1245"/>
      <c r="G107" s="5"/>
      <c r="H107" s="5"/>
      <c r="I107" s="5"/>
    </row>
    <row r="108" spans="1:9" x14ac:dyDescent="0.2">
      <c r="A108" s="5"/>
      <c r="B108" s="1245"/>
      <c r="C108" s="1245"/>
      <c r="D108" s="1245"/>
      <c r="E108" s="1245"/>
      <c r="F108" s="1245"/>
      <c r="G108" s="5"/>
      <c r="H108" s="5"/>
      <c r="I108" s="5"/>
    </row>
    <row r="109" spans="1:9" x14ac:dyDescent="0.2">
      <c r="A109" s="5"/>
      <c r="B109" s="5"/>
      <c r="C109" s="5"/>
      <c r="D109" s="5"/>
      <c r="E109" s="5"/>
      <c r="F109" s="5"/>
      <c r="G109" s="5"/>
      <c r="H109" s="5"/>
      <c r="I109" s="5"/>
    </row>
    <row r="110" spans="1:9" x14ac:dyDescent="0.2">
      <c r="A110" s="5"/>
      <c r="B110" s="1245" t="s">
        <v>4457</v>
      </c>
      <c r="C110" s="1245"/>
      <c r="D110" s="1245"/>
      <c r="E110" s="1245"/>
      <c r="F110" s="1245"/>
      <c r="G110" s="5"/>
      <c r="H110" s="5"/>
      <c r="I110" s="5"/>
    </row>
    <row r="111" spans="1:9" x14ac:dyDescent="0.2">
      <c r="A111" s="5"/>
      <c r="B111" s="1245"/>
      <c r="C111" s="1245"/>
      <c r="D111" s="1245"/>
      <c r="E111" s="1245"/>
      <c r="F111" s="1245"/>
      <c r="G111" s="5"/>
      <c r="H111" s="5"/>
      <c r="I111" s="5"/>
    </row>
    <row r="112" spans="1:9" x14ac:dyDescent="0.2">
      <c r="A112" s="5"/>
      <c r="B112" s="644"/>
      <c r="C112" s="644"/>
      <c r="D112" s="644"/>
      <c r="E112" s="644"/>
      <c r="F112" s="644"/>
      <c r="G112" s="5"/>
      <c r="H112" s="5"/>
      <c r="I112" s="5"/>
    </row>
    <row r="113" spans="1:9" x14ac:dyDescent="0.2">
      <c r="A113" s="5"/>
      <c r="B113" s="661" t="s">
        <v>4458</v>
      </c>
      <c r="C113" s="654"/>
      <c r="D113" s="654"/>
      <c r="E113" s="654"/>
      <c r="F113" s="654"/>
      <c r="G113" s="5"/>
      <c r="H113" s="5"/>
      <c r="I113" s="5"/>
    </row>
    <row r="114" spans="1:9" x14ac:dyDescent="0.2">
      <c r="A114" s="5"/>
      <c r="B114" s="654"/>
      <c r="C114" s="654"/>
      <c r="D114" s="654"/>
      <c r="E114" s="654"/>
      <c r="F114" s="654"/>
      <c r="G114" s="5"/>
      <c r="H114" s="5"/>
      <c r="I114" s="5"/>
    </row>
    <row r="115" spans="1:9" x14ac:dyDescent="0.2">
      <c r="A115" s="5"/>
      <c r="B115" s="667" t="s">
        <v>4459</v>
      </c>
      <c r="C115" s="655"/>
      <c r="D115" s="654"/>
      <c r="E115" s="654"/>
      <c r="F115" s="654"/>
      <c r="G115" s="5"/>
      <c r="H115" s="5"/>
      <c r="I115" s="5"/>
    </row>
    <row r="116" spans="1:9" x14ac:dyDescent="0.2">
      <c r="A116" s="5"/>
      <c r="B116" s="667" t="s">
        <v>4460</v>
      </c>
      <c r="C116" s="655"/>
      <c r="D116" s="654"/>
      <c r="E116" s="654"/>
      <c r="F116" s="654"/>
      <c r="G116" s="5"/>
      <c r="H116" s="5"/>
      <c r="I116" s="5"/>
    </row>
    <row r="117" spans="1:9" x14ac:dyDescent="0.2">
      <c r="A117" s="5"/>
      <c r="B117" s="667" t="s">
        <v>4461</v>
      </c>
      <c r="C117" s="655"/>
      <c r="D117" s="654"/>
      <c r="E117" s="654"/>
      <c r="F117" s="654"/>
      <c r="G117" s="5"/>
      <c r="H117" s="5"/>
      <c r="I117" s="5"/>
    </row>
    <row r="118" spans="1:9" x14ac:dyDescent="0.2">
      <c r="A118" s="5"/>
      <c r="B118" s="654"/>
      <c r="C118" s="654"/>
      <c r="D118" s="654"/>
      <c r="E118" s="654"/>
      <c r="F118" s="654"/>
      <c r="G118" s="5"/>
      <c r="H118" s="5"/>
      <c r="I118" s="5"/>
    </row>
    <row r="119" spans="1:9" x14ac:dyDescent="0.2">
      <c r="A119" s="5"/>
      <c r="B119" s="5"/>
      <c r="C119" s="5"/>
      <c r="D119" s="5"/>
      <c r="E119" s="5"/>
      <c r="F119" s="5"/>
      <c r="G119" s="5"/>
      <c r="H119" s="5"/>
      <c r="I119" s="5"/>
    </row>
    <row r="120" spans="1:9" x14ac:dyDescent="0.2">
      <c r="A120" s="5"/>
      <c r="B120" s="1243" t="s">
        <v>4702</v>
      </c>
      <c r="C120" s="1243"/>
      <c r="D120" s="1243"/>
      <c r="E120" s="1243"/>
      <c r="F120" s="1243"/>
      <c r="G120" s="5"/>
      <c r="H120" s="5"/>
      <c r="I120" s="5"/>
    </row>
    <row r="121" spans="1:9" x14ac:dyDescent="0.2">
      <c r="A121" s="5"/>
      <c r="B121" s="1243"/>
      <c r="C121" s="1243"/>
      <c r="D121" s="1243"/>
      <c r="E121" s="1243"/>
      <c r="F121" s="1243"/>
      <c r="G121" s="5"/>
      <c r="H121" s="5"/>
      <c r="I121" s="5"/>
    </row>
    <row r="122" spans="1:9" x14ac:dyDescent="0.2">
      <c r="A122" s="5"/>
      <c r="B122" s="1243"/>
      <c r="C122" s="1243"/>
      <c r="D122" s="1243"/>
      <c r="E122" s="1243"/>
      <c r="F122" s="1243"/>
      <c r="G122" s="5"/>
      <c r="H122" s="5"/>
      <c r="I122" s="5"/>
    </row>
    <row r="123" spans="1:9" x14ac:dyDescent="0.2">
      <c r="A123" s="5"/>
      <c r="B123" s="1243"/>
      <c r="C123" s="1243"/>
      <c r="D123" s="1243"/>
      <c r="E123" s="1243"/>
      <c r="F123" s="1243"/>
      <c r="G123" s="5"/>
      <c r="H123" s="5"/>
      <c r="I123" s="5"/>
    </row>
    <row r="124" spans="1:9" x14ac:dyDescent="0.2">
      <c r="A124" s="5"/>
      <c r="B124" s="1243"/>
      <c r="C124" s="1243"/>
      <c r="D124" s="1243"/>
      <c r="E124" s="1243"/>
      <c r="F124" s="1243"/>
      <c r="G124" s="5"/>
      <c r="H124" s="5"/>
      <c r="I124" s="5"/>
    </row>
    <row r="125" spans="1:9" x14ac:dyDescent="0.2">
      <c r="A125" s="5"/>
      <c r="B125" s="1243"/>
      <c r="C125" s="1243"/>
      <c r="D125" s="1243"/>
      <c r="E125" s="1243"/>
      <c r="F125" s="1243"/>
      <c r="G125" s="5"/>
      <c r="H125" s="5"/>
      <c r="I125" s="5"/>
    </row>
    <row r="126" spans="1:9" x14ac:dyDescent="0.2">
      <c r="A126" s="5"/>
      <c r="B126" s="1243"/>
      <c r="C126" s="1243"/>
      <c r="D126" s="1243"/>
      <c r="E126" s="1243"/>
      <c r="F126" s="1243"/>
      <c r="G126" s="5"/>
      <c r="H126" s="5"/>
      <c r="I126" s="5"/>
    </row>
    <row r="127" spans="1:9" x14ac:dyDescent="0.2">
      <c r="A127" s="5"/>
      <c r="B127" s="1243"/>
      <c r="C127" s="1243"/>
      <c r="D127" s="1243"/>
      <c r="E127" s="1243"/>
      <c r="F127" s="1243"/>
      <c r="G127" s="5"/>
      <c r="H127" s="5"/>
      <c r="I127" s="5"/>
    </row>
    <row r="128" spans="1:9" x14ac:dyDescent="0.2">
      <c r="A128" s="5"/>
      <c r="B128" s="1243"/>
      <c r="C128" s="1243"/>
      <c r="D128" s="1243"/>
      <c r="E128" s="1243"/>
      <c r="F128" s="1243"/>
      <c r="G128" s="5"/>
      <c r="H128" s="5"/>
      <c r="I128" s="5"/>
    </row>
    <row r="129" spans="1:9" x14ac:dyDescent="0.2">
      <c r="A129" s="5"/>
      <c r="B129" s="1243"/>
      <c r="C129" s="1243"/>
      <c r="D129" s="1243"/>
      <c r="E129" s="1243"/>
      <c r="F129" s="1243"/>
      <c r="G129" s="5"/>
      <c r="H129" s="5"/>
      <c r="I129" s="5"/>
    </row>
    <row r="130" spans="1:9" x14ac:dyDescent="0.2">
      <c r="A130" s="5"/>
      <c r="B130" s="1243"/>
      <c r="C130" s="1243"/>
      <c r="D130" s="1243"/>
      <c r="E130" s="1243"/>
      <c r="F130" s="1243"/>
      <c r="G130" s="5"/>
      <c r="H130" s="5"/>
      <c r="I130" s="5"/>
    </row>
    <row r="131" spans="1:9" x14ac:dyDescent="0.2">
      <c r="A131" s="5"/>
      <c r="B131" s="1243"/>
      <c r="C131" s="1243"/>
      <c r="D131" s="1243"/>
      <c r="E131" s="1243"/>
      <c r="F131" s="1243"/>
      <c r="G131" s="5"/>
      <c r="H131" s="5"/>
      <c r="I131" s="5"/>
    </row>
    <row r="132" spans="1:9" x14ac:dyDescent="0.2">
      <c r="A132" s="5"/>
      <c r="B132" s="1243"/>
      <c r="C132" s="1243"/>
      <c r="D132" s="1243"/>
      <c r="E132" s="1243"/>
      <c r="F132" s="1243"/>
      <c r="G132" s="5"/>
      <c r="H132" s="5"/>
      <c r="I132" s="5"/>
    </row>
    <row r="133" spans="1:9" x14ac:dyDescent="0.2">
      <c r="A133" s="5"/>
      <c r="B133" s="1243"/>
      <c r="C133" s="1243"/>
      <c r="D133" s="1243"/>
      <c r="E133" s="1243"/>
      <c r="F133" s="1243"/>
      <c r="G133" s="5"/>
      <c r="H133" s="5"/>
      <c r="I133" s="5"/>
    </row>
    <row r="134" spans="1:9" x14ac:dyDescent="0.2">
      <c r="A134" s="5"/>
      <c r="B134" s="1243"/>
      <c r="C134" s="1243"/>
      <c r="D134" s="1243"/>
      <c r="E134" s="1243"/>
      <c r="F134" s="1243"/>
      <c r="G134" s="5"/>
      <c r="H134" s="5"/>
      <c r="I134" s="5"/>
    </row>
    <row r="135" spans="1:9" x14ac:dyDescent="0.2">
      <c r="A135" s="5"/>
      <c r="B135" s="1243"/>
      <c r="C135" s="1243"/>
      <c r="D135" s="1243"/>
      <c r="E135" s="1243"/>
      <c r="F135" s="1243"/>
      <c r="G135" s="5"/>
      <c r="H135" s="5"/>
      <c r="I135" s="5"/>
    </row>
    <row r="136" spans="1:9" x14ac:dyDescent="0.2">
      <c r="A136" s="5"/>
      <c r="B136" s="1243"/>
      <c r="C136" s="1243"/>
      <c r="D136" s="1243"/>
      <c r="E136" s="1243"/>
      <c r="F136" s="1243"/>
      <c r="G136" s="5"/>
      <c r="H136" s="5"/>
      <c r="I136" s="5"/>
    </row>
  </sheetData>
  <sheetProtection algorithmName="SHA-512" hashValue="XqE5gpXq50vB8BQWFw90ULnluNf6wKtKI+e+nKDmvEZe0gj5G4yUj/o+/fvJOKEACqEx/BZd64dYFtmRfl3hhQ==" saltValue="lf2bLstbxCXI41Fg5+hyTQ==" spinCount="100000" sheet="1" objects="1" scenarios="1"/>
  <mergeCells count="12">
    <mergeCell ref="B16:H17"/>
    <mergeCell ref="B99:F99"/>
    <mergeCell ref="B100:F105"/>
    <mergeCell ref="B107:F108"/>
    <mergeCell ref="B110:F111"/>
    <mergeCell ref="B120:F136"/>
    <mergeCell ref="B92:F97"/>
    <mergeCell ref="B44:F49"/>
    <mergeCell ref="B51:F52"/>
    <mergeCell ref="B53:F58"/>
    <mergeCell ref="B62:F67"/>
    <mergeCell ref="B71:F76"/>
  </mergeCells>
  <dataValidations count="2">
    <dataValidation type="list" allowBlank="1" showInputMessage="1" showErrorMessage="1" sqref="H32:H40" xr:uid="{00000000-0002-0000-0E00-000000000000}">
      <formula1>"Family,Senior,PSH"</formula1>
    </dataValidation>
    <dataValidation type="list" allowBlank="1" showInputMessage="1" showErrorMessage="1" sqref="B19" xr:uid="{00000000-0002-0000-0E00-000001000000}">
      <formula1>"Yes,No"</formula1>
    </dataValidation>
  </dataValidations>
  <pageMargins left="0.25" right="0.25" top="0.75" bottom="0.75" header="0.3" footer="0.3"/>
  <pageSetup scale="51" fitToHeight="0" orientation="portrait" r:id="rId1"/>
  <rowBreaks count="1" manualBreakCount="1">
    <brk id="87"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1</xdr:col>
                    <xdr:colOff>38100</xdr:colOff>
                    <xdr:row>42</xdr:row>
                    <xdr:rowOff>9525</xdr:rowOff>
                  </from>
                  <to>
                    <xdr:col>1</xdr:col>
                    <xdr:colOff>847725</xdr:colOff>
                    <xdr:row>42</xdr:row>
                    <xdr:rowOff>219075</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1</xdr:col>
                    <xdr:colOff>495300</xdr:colOff>
                    <xdr:row>42</xdr:row>
                    <xdr:rowOff>19050</xdr:rowOff>
                  </from>
                  <to>
                    <xdr:col>1</xdr:col>
                    <xdr:colOff>1304925</xdr:colOff>
                    <xdr:row>42</xdr:row>
                    <xdr:rowOff>228600</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1</xdr:col>
                    <xdr:colOff>28575</xdr:colOff>
                    <xdr:row>51</xdr:row>
                    <xdr:rowOff>180975</xdr:rowOff>
                  </from>
                  <to>
                    <xdr:col>1</xdr:col>
                    <xdr:colOff>838200</xdr:colOff>
                    <xdr:row>51</xdr:row>
                    <xdr:rowOff>390525</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1</xdr:col>
                    <xdr:colOff>523875</xdr:colOff>
                    <xdr:row>51</xdr:row>
                    <xdr:rowOff>171450</xdr:rowOff>
                  </from>
                  <to>
                    <xdr:col>1</xdr:col>
                    <xdr:colOff>1333500</xdr:colOff>
                    <xdr:row>51</xdr:row>
                    <xdr:rowOff>381000</xdr:rowOff>
                  </to>
                </anchor>
              </controlPr>
            </control>
          </mc:Choice>
        </mc:AlternateContent>
        <mc:AlternateContent xmlns:mc="http://schemas.openxmlformats.org/markup-compatibility/2006">
          <mc:Choice Requires="x14">
            <control shapeId="46085" r:id="rId8" name="Check Box 5">
              <controlPr defaultSize="0" autoFill="0" autoLine="0" autoPict="0">
                <anchor moveWithCells="1">
                  <from>
                    <xdr:col>1</xdr:col>
                    <xdr:colOff>28575</xdr:colOff>
                    <xdr:row>59</xdr:row>
                    <xdr:rowOff>152400</xdr:rowOff>
                  </from>
                  <to>
                    <xdr:col>1</xdr:col>
                    <xdr:colOff>838200</xdr:colOff>
                    <xdr:row>60</xdr:row>
                    <xdr:rowOff>180975</xdr:rowOff>
                  </to>
                </anchor>
              </controlPr>
            </control>
          </mc:Choice>
        </mc:AlternateContent>
        <mc:AlternateContent xmlns:mc="http://schemas.openxmlformats.org/markup-compatibility/2006">
          <mc:Choice Requires="x14">
            <control shapeId="46086" r:id="rId9" name="Check Box 6">
              <controlPr defaultSize="0" autoFill="0" autoLine="0" autoPict="0">
                <anchor moveWithCells="1">
                  <from>
                    <xdr:col>1</xdr:col>
                    <xdr:colOff>485775</xdr:colOff>
                    <xdr:row>59</xdr:row>
                    <xdr:rowOff>152400</xdr:rowOff>
                  </from>
                  <to>
                    <xdr:col>1</xdr:col>
                    <xdr:colOff>1285875</xdr:colOff>
                    <xdr:row>60</xdr:row>
                    <xdr:rowOff>180975</xdr:rowOff>
                  </to>
                </anchor>
              </controlPr>
            </control>
          </mc:Choice>
        </mc:AlternateContent>
        <mc:AlternateContent xmlns:mc="http://schemas.openxmlformats.org/markup-compatibility/2006">
          <mc:Choice Requires="x14">
            <control shapeId="46087" r:id="rId10" name="Check Box 7">
              <controlPr defaultSize="0" autoFill="0" autoLine="0" autoPict="0">
                <anchor moveWithCells="1">
                  <from>
                    <xdr:col>1</xdr:col>
                    <xdr:colOff>57150</xdr:colOff>
                    <xdr:row>68</xdr:row>
                    <xdr:rowOff>152400</xdr:rowOff>
                  </from>
                  <to>
                    <xdr:col>1</xdr:col>
                    <xdr:colOff>866775</xdr:colOff>
                    <xdr:row>70</xdr:row>
                    <xdr:rowOff>0</xdr:rowOff>
                  </to>
                </anchor>
              </controlPr>
            </control>
          </mc:Choice>
        </mc:AlternateContent>
        <mc:AlternateContent xmlns:mc="http://schemas.openxmlformats.org/markup-compatibility/2006">
          <mc:Choice Requires="x14">
            <control shapeId="46088" r:id="rId11" name="Check Box 8">
              <controlPr defaultSize="0" autoFill="0" autoLine="0" autoPict="0">
                <anchor moveWithCells="1">
                  <from>
                    <xdr:col>1</xdr:col>
                    <xdr:colOff>552450</xdr:colOff>
                    <xdr:row>68</xdr:row>
                    <xdr:rowOff>152400</xdr:rowOff>
                  </from>
                  <to>
                    <xdr:col>1</xdr:col>
                    <xdr:colOff>1352550</xdr:colOff>
                    <xdr:row>70</xdr:row>
                    <xdr:rowOff>0</xdr:rowOff>
                  </to>
                </anchor>
              </controlPr>
            </control>
          </mc:Choice>
        </mc:AlternateContent>
        <mc:AlternateContent xmlns:mc="http://schemas.openxmlformats.org/markup-compatibility/2006">
          <mc:Choice Requires="x14">
            <control shapeId="46089" r:id="rId12" name="Check Box 9">
              <controlPr defaultSize="0" autoFill="0" autoLine="0" autoPict="0">
                <anchor moveWithCells="1">
                  <from>
                    <xdr:col>1</xdr:col>
                    <xdr:colOff>57150</xdr:colOff>
                    <xdr:row>79</xdr:row>
                    <xdr:rowOff>9525</xdr:rowOff>
                  </from>
                  <to>
                    <xdr:col>2</xdr:col>
                    <xdr:colOff>1123950</xdr:colOff>
                    <xdr:row>80</xdr:row>
                    <xdr:rowOff>28575</xdr:rowOff>
                  </to>
                </anchor>
              </controlPr>
            </control>
          </mc:Choice>
        </mc:AlternateContent>
        <mc:AlternateContent xmlns:mc="http://schemas.openxmlformats.org/markup-compatibility/2006">
          <mc:Choice Requires="x14">
            <control shapeId="46090" r:id="rId13" name="Check Box 10">
              <controlPr defaultSize="0" autoFill="0" autoLine="0" autoPict="0">
                <anchor moveWithCells="1">
                  <from>
                    <xdr:col>1</xdr:col>
                    <xdr:colOff>57150</xdr:colOff>
                    <xdr:row>80</xdr:row>
                    <xdr:rowOff>9525</xdr:rowOff>
                  </from>
                  <to>
                    <xdr:col>2</xdr:col>
                    <xdr:colOff>1123950</xdr:colOff>
                    <xdr:row>81</xdr:row>
                    <xdr:rowOff>28575</xdr:rowOff>
                  </to>
                </anchor>
              </controlPr>
            </control>
          </mc:Choice>
        </mc:AlternateContent>
        <mc:AlternateContent xmlns:mc="http://schemas.openxmlformats.org/markup-compatibility/2006">
          <mc:Choice Requires="x14">
            <control shapeId="46091" r:id="rId14" name="Check Box 11">
              <controlPr defaultSize="0" autoFill="0" autoLine="0" autoPict="0">
                <anchor moveWithCells="1">
                  <from>
                    <xdr:col>1</xdr:col>
                    <xdr:colOff>57150</xdr:colOff>
                    <xdr:row>81</xdr:row>
                    <xdr:rowOff>9525</xdr:rowOff>
                  </from>
                  <to>
                    <xdr:col>2</xdr:col>
                    <xdr:colOff>1123950</xdr:colOff>
                    <xdr:row>82</xdr:row>
                    <xdr:rowOff>19050</xdr:rowOff>
                  </to>
                </anchor>
              </controlPr>
            </control>
          </mc:Choice>
        </mc:AlternateContent>
        <mc:AlternateContent xmlns:mc="http://schemas.openxmlformats.org/markup-compatibility/2006">
          <mc:Choice Requires="x14">
            <control shapeId="46092" r:id="rId15" name="Check Box 12">
              <controlPr defaultSize="0" autoFill="0" autoLine="0" autoPict="0">
                <anchor moveWithCells="1">
                  <from>
                    <xdr:col>1</xdr:col>
                    <xdr:colOff>57150</xdr:colOff>
                    <xdr:row>81</xdr:row>
                    <xdr:rowOff>180975</xdr:rowOff>
                  </from>
                  <to>
                    <xdr:col>2</xdr:col>
                    <xdr:colOff>1123950</xdr:colOff>
                    <xdr:row>83</xdr:row>
                    <xdr:rowOff>19050</xdr:rowOff>
                  </to>
                </anchor>
              </controlPr>
            </control>
          </mc:Choice>
        </mc:AlternateContent>
        <mc:AlternateContent xmlns:mc="http://schemas.openxmlformats.org/markup-compatibility/2006">
          <mc:Choice Requires="x14">
            <control shapeId="46093" r:id="rId16" name="Check Box 13">
              <controlPr defaultSize="0" autoFill="0" autoLine="0" autoPict="0">
                <anchor moveWithCells="1">
                  <from>
                    <xdr:col>1</xdr:col>
                    <xdr:colOff>57150</xdr:colOff>
                    <xdr:row>82</xdr:row>
                    <xdr:rowOff>171450</xdr:rowOff>
                  </from>
                  <to>
                    <xdr:col>2</xdr:col>
                    <xdr:colOff>1123950</xdr:colOff>
                    <xdr:row>84</xdr:row>
                    <xdr:rowOff>9525</xdr:rowOff>
                  </to>
                </anchor>
              </controlPr>
            </control>
          </mc:Choice>
        </mc:AlternateContent>
        <mc:AlternateContent xmlns:mc="http://schemas.openxmlformats.org/markup-compatibility/2006">
          <mc:Choice Requires="x14">
            <control shapeId="46094" r:id="rId17" name="Check Box 14">
              <controlPr defaultSize="0" autoFill="0" autoLine="0" autoPict="0" altText="Specialist in Housing Credit Management (SHCM)">
                <anchor moveWithCells="1">
                  <from>
                    <xdr:col>1</xdr:col>
                    <xdr:colOff>57150</xdr:colOff>
                    <xdr:row>83</xdr:row>
                    <xdr:rowOff>152400</xdr:rowOff>
                  </from>
                  <to>
                    <xdr:col>2</xdr:col>
                    <xdr:colOff>1123950</xdr:colOff>
                    <xdr:row>85</xdr:row>
                    <xdr:rowOff>9525</xdr:rowOff>
                  </to>
                </anchor>
              </controlPr>
            </control>
          </mc:Choice>
        </mc:AlternateContent>
        <mc:AlternateContent xmlns:mc="http://schemas.openxmlformats.org/markup-compatibility/2006">
          <mc:Choice Requires="x14">
            <control shapeId="46095" r:id="rId18" name="Check Box 15">
              <controlPr defaultSize="0" autoFill="0" autoLine="0" autoPict="0">
                <anchor moveWithCells="1">
                  <from>
                    <xdr:col>1</xdr:col>
                    <xdr:colOff>57150</xdr:colOff>
                    <xdr:row>84</xdr:row>
                    <xdr:rowOff>152400</xdr:rowOff>
                  </from>
                  <to>
                    <xdr:col>2</xdr:col>
                    <xdr:colOff>1123950</xdr:colOff>
                    <xdr:row>86</xdr:row>
                    <xdr:rowOff>19050</xdr:rowOff>
                  </to>
                </anchor>
              </controlPr>
            </control>
          </mc:Choice>
        </mc:AlternateContent>
        <mc:AlternateContent xmlns:mc="http://schemas.openxmlformats.org/markup-compatibility/2006">
          <mc:Choice Requires="x14">
            <control shapeId="46096" r:id="rId19" name="Check Box 16">
              <controlPr defaultSize="0" autoFill="0" autoLine="0" autoPict="0">
                <anchor moveWithCells="1">
                  <from>
                    <xdr:col>1</xdr:col>
                    <xdr:colOff>57150</xdr:colOff>
                    <xdr:row>89</xdr:row>
                    <xdr:rowOff>152400</xdr:rowOff>
                  </from>
                  <to>
                    <xdr:col>1</xdr:col>
                    <xdr:colOff>866775</xdr:colOff>
                    <xdr:row>91</xdr:row>
                    <xdr:rowOff>0</xdr:rowOff>
                  </to>
                </anchor>
              </controlPr>
            </control>
          </mc:Choice>
        </mc:AlternateContent>
        <mc:AlternateContent xmlns:mc="http://schemas.openxmlformats.org/markup-compatibility/2006">
          <mc:Choice Requires="x14">
            <control shapeId="46097" r:id="rId20" name="Check Box 17">
              <controlPr defaultSize="0" autoFill="0" autoLine="0" autoPict="0">
                <anchor moveWithCells="1">
                  <from>
                    <xdr:col>1</xdr:col>
                    <xdr:colOff>485775</xdr:colOff>
                    <xdr:row>89</xdr:row>
                    <xdr:rowOff>152400</xdr:rowOff>
                  </from>
                  <to>
                    <xdr:col>1</xdr:col>
                    <xdr:colOff>1285875</xdr:colOff>
                    <xdr:row>91</xdr:row>
                    <xdr:rowOff>0</xdr:rowOff>
                  </to>
                </anchor>
              </controlPr>
            </control>
          </mc:Choice>
        </mc:AlternateContent>
        <mc:AlternateContent xmlns:mc="http://schemas.openxmlformats.org/markup-compatibility/2006">
          <mc:Choice Requires="x14">
            <control shapeId="46098" r:id="rId21" name="Check Box 18">
              <controlPr defaultSize="0" autoFill="0" autoLine="0" autoPict="0">
                <anchor moveWithCells="1">
                  <from>
                    <xdr:col>1</xdr:col>
                    <xdr:colOff>9525</xdr:colOff>
                    <xdr:row>106</xdr:row>
                    <xdr:rowOff>161925</xdr:rowOff>
                  </from>
                  <to>
                    <xdr:col>1</xdr:col>
                    <xdr:colOff>819150</xdr:colOff>
                    <xdr:row>108</xdr:row>
                    <xdr:rowOff>9525</xdr:rowOff>
                  </to>
                </anchor>
              </controlPr>
            </control>
          </mc:Choice>
        </mc:AlternateContent>
        <mc:AlternateContent xmlns:mc="http://schemas.openxmlformats.org/markup-compatibility/2006">
          <mc:Choice Requires="x14">
            <control shapeId="46099" r:id="rId22" name="Check Box 19">
              <controlPr defaultSize="0" autoFill="0" autoLine="0" autoPict="0">
                <anchor moveWithCells="1">
                  <from>
                    <xdr:col>1</xdr:col>
                    <xdr:colOff>533400</xdr:colOff>
                    <xdr:row>106</xdr:row>
                    <xdr:rowOff>161925</xdr:rowOff>
                  </from>
                  <to>
                    <xdr:col>1</xdr:col>
                    <xdr:colOff>1343025</xdr:colOff>
                    <xdr:row>108</xdr:row>
                    <xdr:rowOff>9525</xdr:rowOff>
                  </to>
                </anchor>
              </controlPr>
            </control>
          </mc:Choice>
        </mc:AlternateContent>
        <mc:AlternateContent xmlns:mc="http://schemas.openxmlformats.org/markup-compatibility/2006">
          <mc:Choice Requires="x14">
            <control shapeId="46100" r:id="rId23" name="Check Box 20">
              <controlPr defaultSize="0" autoFill="0" autoLine="0" autoPict="0">
                <anchor moveWithCells="1">
                  <from>
                    <xdr:col>1</xdr:col>
                    <xdr:colOff>38100</xdr:colOff>
                    <xdr:row>109</xdr:row>
                    <xdr:rowOff>171450</xdr:rowOff>
                  </from>
                  <to>
                    <xdr:col>1</xdr:col>
                    <xdr:colOff>847725</xdr:colOff>
                    <xdr:row>111</xdr:row>
                    <xdr:rowOff>19050</xdr:rowOff>
                  </to>
                </anchor>
              </controlPr>
            </control>
          </mc:Choice>
        </mc:AlternateContent>
        <mc:AlternateContent xmlns:mc="http://schemas.openxmlformats.org/markup-compatibility/2006">
          <mc:Choice Requires="x14">
            <control shapeId="46101" r:id="rId24" name="Check Box 21">
              <controlPr defaultSize="0" autoFill="0" autoLine="0" autoPict="0">
                <anchor moveWithCells="1">
                  <from>
                    <xdr:col>1</xdr:col>
                    <xdr:colOff>533400</xdr:colOff>
                    <xdr:row>109</xdr:row>
                    <xdr:rowOff>171450</xdr:rowOff>
                  </from>
                  <to>
                    <xdr:col>1</xdr:col>
                    <xdr:colOff>1343025</xdr:colOff>
                    <xdr:row>111</xdr:row>
                    <xdr:rowOff>19050</xdr:rowOff>
                  </to>
                </anchor>
              </controlPr>
            </control>
          </mc:Choice>
        </mc:AlternateContent>
        <mc:AlternateContent xmlns:mc="http://schemas.openxmlformats.org/markup-compatibility/2006">
          <mc:Choice Requires="x14">
            <control shapeId="46102" r:id="rId25" name="Check Box 22">
              <controlPr defaultSize="0" autoFill="0" autoLine="0" autoPict="0">
                <anchor moveWithCells="1">
                  <from>
                    <xdr:col>1</xdr:col>
                    <xdr:colOff>0</xdr:colOff>
                    <xdr:row>112</xdr:row>
                    <xdr:rowOff>161925</xdr:rowOff>
                  </from>
                  <to>
                    <xdr:col>1</xdr:col>
                    <xdr:colOff>809625</xdr:colOff>
                    <xdr:row>114</xdr:row>
                    <xdr:rowOff>9525</xdr:rowOff>
                  </to>
                </anchor>
              </controlPr>
            </control>
          </mc:Choice>
        </mc:AlternateContent>
        <mc:AlternateContent xmlns:mc="http://schemas.openxmlformats.org/markup-compatibility/2006">
          <mc:Choice Requires="x14">
            <control shapeId="46103" r:id="rId26" name="Check Box 23">
              <controlPr defaultSize="0" autoFill="0" autoLine="0" autoPict="0">
                <anchor moveWithCells="1">
                  <from>
                    <xdr:col>1</xdr:col>
                    <xdr:colOff>523875</xdr:colOff>
                    <xdr:row>112</xdr:row>
                    <xdr:rowOff>161925</xdr:rowOff>
                  </from>
                  <to>
                    <xdr:col>1</xdr:col>
                    <xdr:colOff>1333500</xdr:colOff>
                    <xdr:row>114</xdr:row>
                    <xdr:rowOff>9525</xdr:rowOff>
                  </to>
                </anchor>
              </controlPr>
            </control>
          </mc:Choice>
        </mc:AlternateContent>
        <mc:AlternateContent xmlns:mc="http://schemas.openxmlformats.org/markup-compatibility/2006">
          <mc:Choice Requires="x14">
            <control shapeId="46105" r:id="rId27" name="Check Box 25">
              <controlPr defaultSize="0" autoFill="0" autoLine="0" autoPict="0">
                <anchor moveWithCells="1">
                  <from>
                    <xdr:col>1</xdr:col>
                    <xdr:colOff>57150</xdr:colOff>
                    <xdr:row>78</xdr:row>
                    <xdr:rowOff>9525</xdr:rowOff>
                  </from>
                  <to>
                    <xdr:col>2</xdr:col>
                    <xdr:colOff>1123950</xdr:colOff>
                    <xdr:row>79</xdr:row>
                    <xdr:rowOff>28575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pageSetUpPr fitToPage="1"/>
  </sheetPr>
  <dimension ref="A1:S48"/>
  <sheetViews>
    <sheetView zoomScale="85" zoomScaleNormal="85" zoomScaleSheetLayoutView="85" zoomScalePageLayoutView="55" workbookViewId="0">
      <selection activeCell="D50" sqref="A1:XFD1048576"/>
    </sheetView>
  </sheetViews>
  <sheetFormatPr defaultColWidth="9" defaultRowHeight="14.25" x14ac:dyDescent="0.2"/>
  <cols>
    <col min="1" max="15" width="9" style="5"/>
    <col min="16" max="16" width="14.375" style="5" customWidth="1"/>
    <col min="17" max="16384" width="9" style="5"/>
  </cols>
  <sheetData>
    <row r="1" spans="1:19" ht="54.95" customHeight="1" x14ac:dyDescent="0.2"/>
    <row r="2" spans="1:19" s="399" customFormat="1" ht="22.5" x14ac:dyDescent="0.3">
      <c r="A2" s="3" t="s">
        <v>1</v>
      </c>
      <c r="B2" s="1"/>
      <c r="C2" s="1"/>
      <c r="D2" s="1"/>
      <c r="E2" s="1"/>
      <c r="F2" s="1"/>
      <c r="G2" s="1"/>
      <c r="H2" s="1"/>
      <c r="I2" s="1"/>
      <c r="J2" s="1"/>
      <c r="K2" s="1"/>
      <c r="L2" s="1"/>
      <c r="M2" s="1"/>
      <c r="N2" s="1"/>
      <c r="O2" s="1"/>
      <c r="P2" s="423"/>
    </row>
    <row r="3" spans="1:19" s="126" customFormat="1" ht="15.75" x14ac:dyDescent="0.25">
      <c r="A3" s="4" t="s">
        <v>4297</v>
      </c>
      <c r="B3" s="38">
        <f>'Project Details'!C7</f>
        <v>0</v>
      </c>
      <c r="C3" s="38"/>
      <c r="D3" s="2"/>
      <c r="E3" s="2"/>
      <c r="F3" s="2"/>
      <c r="G3" s="2"/>
      <c r="H3" s="2"/>
      <c r="I3" s="2"/>
      <c r="J3" s="2"/>
      <c r="K3" s="2"/>
      <c r="L3" s="2"/>
      <c r="M3" s="2"/>
      <c r="N3" s="2"/>
      <c r="O3" s="2"/>
      <c r="P3" s="422"/>
    </row>
    <row r="4" spans="1:19" ht="29.25" customHeight="1" x14ac:dyDescent="0.2">
      <c r="A4" s="1246" t="s">
        <v>4189</v>
      </c>
      <c r="B4" s="1246"/>
      <c r="C4" s="1246"/>
      <c r="D4" s="1246"/>
      <c r="E4" s="1246"/>
      <c r="F4" s="1246"/>
      <c r="G4" s="1246"/>
      <c r="H4" s="1246"/>
      <c r="I4" s="1246"/>
      <c r="J4" s="1246"/>
      <c r="K4" s="1246"/>
      <c r="L4" s="1246"/>
      <c r="M4" s="1246"/>
      <c r="N4" s="1246"/>
      <c r="O4" s="1246"/>
      <c r="P4" s="1246"/>
    </row>
    <row r="6" spans="1:19" ht="356.25" customHeight="1" x14ac:dyDescent="0.2">
      <c r="A6" s="1044" t="s">
        <v>4651</v>
      </c>
      <c r="B6" s="1044"/>
      <c r="C6" s="1044"/>
      <c r="D6" s="1044"/>
      <c r="E6" s="1044"/>
      <c r="F6" s="1044"/>
      <c r="G6" s="1044"/>
      <c r="H6" s="1044"/>
      <c r="I6" s="1044"/>
      <c r="J6" s="1044"/>
      <c r="K6" s="1044"/>
      <c r="L6" s="1044"/>
      <c r="M6" s="1044"/>
      <c r="N6" s="1044"/>
      <c r="O6" s="1044"/>
      <c r="P6" s="1044"/>
    </row>
    <row r="7" spans="1:19" x14ac:dyDescent="0.2">
      <c r="A7" s="21"/>
      <c r="B7" s="21"/>
      <c r="C7" s="21"/>
      <c r="D7" s="21"/>
      <c r="E7" s="21"/>
      <c r="F7" s="21"/>
      <c r="G7" s="21"/>
      <c r="H7" s="21"/>
      <c r="I7" s="21"/>
      <c r="J7" s="21"/>
      <c r="K7" s="21"/>
      <c r="L7" s="21"/>
      <c r="M7" s="21"/>
      <c r="N7" s="21"/>
      <c r="O7" s="21"/>
      <c r="P7" s="21"/>
      <c r="Q7" s="21"/>
      <c r="R7" s="21"/>
      <c r="S7" s="21"/>
    </row>
    <row r="8" spans="1:19" ht="258" customHeight="1" x14ac:dyDescent="0.2">
      <c r="A8" s="1044" t="s">
        <v>4652</v>
      </c>
      <c r="B8" s="1044"/>
      <c r="C8" s="1044"/>
      <c r="D8" s="1044"/>
      <c r="E8" s="1044"/>
      <c r="F8" s="1044"/>
      <c r="G8" s="1044"/>
      <c r="H8" s="1044"/>
      <c r="I8" s="1044"/>
      <c r="J8" s="1044"/>
      <c r="K8" s="1044"/>
      <c r="L8" s="1044"/>
      <c r="M8" s="1044"/>
      <c r="N8" s="1044"/>
      <c r="O8" s="1044"/>
      <c r="P8" s="1044"/>
    </row>
    <row r="10" spans="1:19" ht="15" x14ac:dyDescent="0.2">
      <c r="A10" s="608" t="s">
        <v>3880</v>
      </c>
      <c r="B10" s="611"/>
      <c r="C10" s="611"/>
      <c r="D10" s="611"/>
      <c r="E10" s="611"/>
      <c r="F10" s="611"/>
      <c r="G10" s="611"/>
      <c r="H10" s="611"/>
      <c r="I10" s="611"/>
      <c r="J10" s="611"/>
      <c r="K10" s="611"/>
      <c r="L10" s="611"/>
      <c r="M10" s="611"/>
      <c r="N10" s="611"/>
      <c r="O10" s="611"/>
      <c r="P10" s="608"/>
    </row>
    <row r="11" spans="1:19" ht="15" x14ac:dyDescent="0.2">
      <c r="A11" s="611"/>
      <c r="B11" s="611"/>
      <c r="C11" s="611"/>
      <c r="D11" s="611"/>
      <c r="E11" s="611"/>
      <c r="F11" s="611"/>
      <c r="G11" s="611"/>
      <c r="H11" s="611"/>
      <c r="I11" s="611"/>
      <c r="J11" s="611"/>
      <c r="K11" s="611"/>
      <c r="L11" s="611"/>
      <c r="M11" s="611"/>
      <c r="N11" s="611"/>
      <c r="O11" s="611"/>
      <c r="P11" s="608"/>
    </row>
    <row r="12" spans="1:19" s="191" customFormat="1" ht="15" x14ac:dyDescent="0.2">
      <c r="A12" s="611"/>
      <c r="B12" s="612" t="s">
        <v>3881</v>
      </c>
      <c r="C12" s="610"/>
      <c r="D12" s="612" t="s">
        <v>3882</v>
      </c>
      <c r="E12" s="610"/>
      <c r="F12" s="608" t="s">
        <v>3887</v>
      </c>
      <c r="G12" s="608"/>
      <c r="H12" s="608"/>
      <c r="I12" s="608"/>
      <c r="J12" s="611"/>
      <c r="K12" s="611"/>
      <c r="L12" s="611"/>
      <c r="M12" s="611"/>
      <c r="N12" s="611"/>
      <c r="O12" s="611"/>
      <c r="P12" s="608"/>
    </row>
    <row r="13" spans="1:19" s="191" customFormat="1" ht="15" x14ac:dyDescent="0.2">
      <c r="A13" s="611"/>
      <c r="B13" s="608"/>
      <c r="C13" s="608"/>
      <c r="D13" s="608"/>
      <c r="E13" s="608"/>
      <c r="F13" s="608"/>
      <c r="G13" s="608"/>
      <c r="H13" s="608"/>
      <c r="I13" s="608"/>
      <c r="J13" s="611"/>
      <c r="K13" s="611"/>
      <c r="L13" s="611"/>
      <c r="M13" s="611"/>
      <c r="N13" s="611"/>
      <c r="O13" s="611"/>
      <c r="P13" s="608"/>
    </row>
    <row r="14" spans="1:19" s="191" customFormat="1" ht="15" x14ac:dyDescent="0.2">
      <c r="A14" s="611"/>
      <c r="B14" s="608"/>
      <c r="C14" s="610"/>
      <c r="D14" s="610"/>
      <c r="E14" s="610"/>
      <c r="F14" s="610"/>
      <c r="G14" s="610"/>
      <c r="H14" s="608"/>
      <c r="I14" s="608"/>
      <c r="J14" s="611"/>
      <c r="K14" s="611"/>
      <c r="L14" s="611"/>
      <c r="M14" s="611"/>
      <c r="N14" s="611"/>
      <c r="O14" s="611"/>
      <c r="P14" s="608"/>
    </row>
    <row r="15" spans="1:19" s="191" customFormat="1" ht="15" x14ac:dyDescent="0.2">
      <c r="A15" s="611"/>
      <c r="B15" s="608"/>
      <c r="C15" s="608" t="s">
        <v>3883</v>
      </c>
      <c r="D15" s="608"/>
      <c r="E15" s="608"/>
      <c r="F15" s="608"/>
      <c r="G15" s="608"/>
      <c r="H15" s="608"/>
      <c r="I15" s="608"/>
      <c r="J15" s="611"/>
      <c r="K15" s="611"/>
      <c r="L15" s="611"/>
      <c r="M15" s="611"/>
      <c r="N15" s="611"/>
      <c r="O15" s="611"/>
      <c r="P15" s="608"/>
    </row>
    <row r="16" spans="1:19" s="191" customFormat="1" ht="15" x14ac:dyDescent="0.2">
      <c r="A16" s="611"/>
      <c r="B16" s="611"/>
      <c r="C16" s="611"/>
      <c r="D16" s="611"/>
      <c r="E16" s="611"/>
      <c r="F16" s="611"/>
      <c r="G16" s="611"/>
      <c r="H16" s="611"/>
      <c r="I16" s="611"/>
      <c r="J16" s="611"/>
      <c r="K16" s="611"/>
      <c r="L16" s="611"/>
      <c r="M16" s="611"/>
      <c r="N16" s="611"/>
      <c r="O16" s="611"/>
      <c r="P16" s="608"/>
    </row>
    <row r="17" spans="1:16" s="191" customFormat="1" x14ac:dyDescent="0.2">
      <c r="P17" s="348"/>
    </row>
    <row r="18" spans="1:16" s="191" customFormat="1" x14ac:dyDescent="0.2">
      <c r="A18" s="608"/>
      <c r="B18" s="608"/>
      <c r="C18" s="608"/>
      <c r="D18" s="608"/>
      <c r="E18" s="608"/>
      <c r="F18" s="608"/>
      <c r="G18" s="608"/>
      <c r="H18" s="608"/>
      <c r="I18" s="608"/>
      <c r="J18" s="608"/>
      <c r="K18" s="608"/>
      <c r="L18" s="608"/>
      <c r="M18" s="608"/>
      <c r="N18" s="608"/>
      <c r="O18" s="608"/>
      <c r="P18" s="608"/>
    </row>
    <row r="19" spans="1:16" s="191" customFormat="1" x14ac:dyDescent="0.2">
      <c r="A19" s="609"/>
      <c r="B19" s="608" t="s">
        <v>3884</v>
      </c>
      <c r="C19" s="610"/>
      <c r="D19" s="610"/>
      <c r="E19" s="610"/>
      <c r="F19" s="610"/>
      <c r="G19" s="610"/>
      <c r="H19" s="608"/>
      <c r="I19" s="608" t="s">
        <v>3884</v>
      </c>
      <c r="J19" s="610"/>
      <c r="K19" s="610"/>
      <c r="L19" s="610"/>
      <c r="M19" s="610"/>
      <c r="N19" s="610"/>
      <c r="O19" s="608"/>
      <c r="P19" s="608"/>
    </row>
    <row r="20" spans="1:16" s="191" customFormat="1" x14ac:dyDescent="0.2">
      <c r="A20" s="609"/>
      <c r="B20" s="608"/>
      <c r="C20" s="608" t="s">
        <v>3885</v>
      </c>
      <c r="D20" s="608"/>
      <c r="E20" s="608"/>
      <c r="F20" s="608"/>
      <c r="G20" s="608"/>
      <c r="H20" s="608"/>
      <c r="I20" s="608"/>
      <c r="J20" s="608" t="s">
        <v>3885</v>
      </c>
      <c r="K20" s="608"/>
      <c r="L20" s="608"/>
      <c r="M20" s="608"/>
      <c r="N20" s="608"/>
      <c r="O20" s="608"/>
      <c r="P20" s="608"/>
    </row>
    <row r="21" spans="1:16" s="191" customFormat="1" x14ac:dyDescent="0.2">
      <c r="A21" s="609"/>
      <c r="B21" s="608"/>
      <c r="C21" s="608"/>
      <c r="D21" s="608"/>
      <c r="E21" s="608"/>
      <c r="F21" s="608"/>
      <c r="G21" s="608"/>
      <c r="H21" s="608"/>
      <c r="I21" s="608"/>
      <c r="J21" s="608"/>
      <c r="K21" s="608"/>
      <c r="L21" s="608"/>
      <c r="M21" s="608"/>
      <c r="N21" s="608"/>
      <c r="O21" s="608"/>
      <c r="P21" s="608"/>
    </row>
    <row r="22" spans="1:16" s="191" customFormat="1" x14ac:dyDescent="0.2">
      <c r="A22" s="609"/>
      <c r="B22" s="608"/>
      <c r="C22" s="610"/>
      <c r="D22" s="610"/>
      <c r="E22" s="610"/>
      <c r="F22" s="610"/>
      <c r="G22" s="610"/>
      <c r="H22" s="608"/>
      <c r="I22" s="608"/>
      <c r="J22" s="610"/>
      <c r="K22" s="610"/>
      <c r="L22" s="610"/>
      <c r="M22" s="610"/>
      <c r="N22" s="610"/>
      <c r="O22" s="608"/>
      <c r="P22" s="608"/>
    </row>
    <row r="23" spans="1:16" s="191" customFormat="1" x14ac:dyDescent="0.2">
      <c r="A23" s="609"/>
      <c r="B23" s="608"/>
      <c r="C23" s="608" t="s">
        <v>3886</v>
      </c>
      <c r="D23" s="608"/>
      <c r="E23" s="608"/>
      <c r="F23" s="608"/>
      <c r="G23" s="608"/>
      <c r="H23" s="608"/>
      <c r="I23" s="608"/>
      <c r="J23" s="608" t="s">
        <v>3886</v>
      </c>
      <c r="K23" s="608"/>
      <c r="L23" s="608"/>
      <c r="M23" s="608"/>
      <c r="N23" s="608"/>
      <c r="O23" s="608"/>
      <c r="P23" s="608"/>
    </row>
    <row r="24" spans="1:16" s="191" customFormat="1" x14ac:dyDescent="0.2">
      <c r="A24" s="609"/>
      <c r="B24" s="608"/>
      <c r="C24" s="608"/>
      <c r="D24" s="608"/>
      <c r="E24" s="608"/>
      <c r="F24" s="608"/>
      <c r="G24" s="608"/>
      <c r="H24" s="608"/>
      <c r="I24" s="608"/>
      <c r="J24" s="608"/>
      <c r="K24" s="608"/>
      <c r="L24" s="608"/>
      <c r="M24" s="608"/>
      <c r="N24" s="608"/>
      <c r="O24" s="608"/>
      <c r="P24" s="608"/>
    </row>
    <row r="25" spans="1:16" s="191" customFormat="1" x14ac:dyDescent="0.2">
      <c r="A25" s="609"/>
      <c r="B25" s="608"/>
      <c r="C25" s="610"/>
      <c r="D25" s="610"/>
      <c r="E25" s="610"/>
      <c r="F25" s="610"/>
      <c r="G25" s="610"/>
      <c r="H25" s="608"/>
      <c r="I25" s="608"/>
      <c r="J25" s="610"/>
      <c r="K25" s="610"/>
      <c r="L25" s="610"/>
      <c r="M25" s="610"/>
      <c r="N25" s="610"/>
      <c r="O25" s="608"/>
      <c r="P25" s="608"/>
    </row>
    <row r="26" spans="1:16" s="191" customFormat="1" x14ac:dyDescent="0.2">
      <c r="A26" s="609"/>
      <c r="B26" s="608"/>
      <c r="C26" s="608" t="s">
        <v>3070</v>
      </c>
      <c r="D26" s="608"/>
      <c r="E26" s="608"/>
      <c r="F26" s="608"/>
      <c r="G26" s="608"/>
      <c r="H26" s="608"/>
      <c r="I26" s="608"/>
      <c r="J26" s="608" t="s">
        <v>3070</v>
      </c>
      <c r="K26" s="608"/>
      <c r="L26" s="608"/>
      <c r="M26" s="608"/>
      <c r="N26" s="608"/>
      <c r="O26" s="608"/>
      <c r="P26" s="608"/>
    </row>
    <row r="27" spans="1:16" s="191" customFormat="1" x14ac:dyDescent="0.2">
      <c r="A27" s="609"/>
      <c r="B27" s="608"/>
      <c r="C27" s="608"/>
      <c r="D27" s="608"/>
      <c r="E27" s="608"/>
      <c r="F27" s="608"/>
      <c r="G27" s="608"/>
      <c r="H27" s="608"/>
      <c r="I27" s="608"/>
      <c r="J27" s="608"/>
      <c r="K27" s="608"/>
      <c r="L27" s="608"/>
      <c r="M27" s="608"/>
      <c r="N27" s="608"/>
      <c r="O27" s="608"/>
      <c r="P27" s="608"/>
    </row>
    <row r="28" spans="1:16" s="191" customFormat="1" x14ac:dyDescent="0.2">
      <c r="A28" s="609"/>
      <c r="B28" s="608"/>
      <c r="C28" s="610"/>
      <c r="D28" s="610"/>
      <c r="E28" s="610"/>
      <c r="F28" s="610"/>
      <c r="G28" s="610"/>
      <c r="H28" s="608"/>
      <c r="I28" s="608"/>
      <c r="J28" s="610"/>
      <c r="K28" s="610"/>
      <c r="L28" s="610"/>
      <c r="M28" s="610"/>
      <c r="N28" s="610"/>
      <c r="O28" s="608"/>
      <c r="P28" s="608"/>
    </row>
    <row r="29" spans="1:16" s="191" customFormat="1" x14ac:dyDescent="0.2">
      <c r="A29" s="609"/>
      <c r="B29" s="608"/>
      <c r="C29" s="608" t="s">
        <v>3071</v>
      </c>
      <c r="D29" s="608"/>
      <c r="E29" s="608"/>
      <c r="F29" s="608"/>
      <c r="G29" s="608"/>
      <c r="H29" s="608"/>
      <c r="I29" s="608"/>
      <c r="J29" s="608" t="s">
        <v>3071</v>
      </c>
      <c r="K29" s="608"/>
      <c r="L29" s="608"/>
      <c r="M29" s="608"/>
      <c r="N29" s="608"/>
      <c r="O29" s="608"/>
      <c r="P29" s="608"/>
    </row>
    <row r="30" spans="1:16" s="191" customFormat="1" x14ac:dyDescent="0.2">
      <c r="A30" s="609"/>
      <c r="B30" s="608"/>
      <c r="C30" s="608"/>
      <c r="D30" s="608"/>
      <c r="E30" s="608"/>
      <c r="F30" s="608"/>
      <c r="G30" s="608"/>
      <c r="H30" s="608"/>
      <c r="I30" s="608"/>
      <c r="J30" s="608"/>
      <c r="K30" s="608"/>
      <c r="L30" s="608"/>
      <c r="M30" s="608"/>
      <c r="N30" s="608"/>
      <c r="O30" s="608"/>
      <c r="P30" s="608"/>
    </row>
    <row r="31" spans="1:16" s="191" customFormat="1" x14ac:dyDescent="0.2"/>
    <row r="32" spans="1:16" s="191" customFormat="1" x14ac:dyDescent="0.2">
      <c r="A32" s="608"/>
      <c r="B32" s="608"/>
      <c r="C32" s="608"/>
      <c r="D32" s="608"/>
      <c r="E32" s="608"/>
      <c r="F32" s="608"/>
      <c r="G32" s="608"/>
      <c r="H32" s="608"/>
      <c r="I32" s="608"/>
      <c r="J32" s="608"/>
      <c r="K32" s="608"/>
      <c r="L32" s="608"/>
      <c r="M32" s="608"/>
      <c r="N32" s="608"/>
      <c r="O32" s="608"/>
      <c r="P32" s="608"/>
    </row>
    <row r="33" spans="1:16" s="191" customFormat="1" x14ac:dyDescent="0.2">
      <c r="A33" s="609"/>
      <c r="B33" s="608" t="s">
        <v>3884</v>
      </c>
      <c r="C33" s="610"/>
      <c r="D33" s="610"/>
      <c r="E33" s="610"/>
      <c r="F33" s="610"/>
      <c r="G33" s="610"/>
      <c r="H33" s="608"/>
      <c r="I33" s="608" t="s">
        <v>3884</v>
      </c>
      <c r="J33" s="610"/>
      <c r="K33" s="610"/>
      <c r="L33" s="610"/>
      <c r="M33" s="610"/>
      <c r="N33" s="610"/>
      <c r="O33" s="608"/>
      <c r="P33" s="608"/>
    </row>
    <row r="34" spans="1:16" s="191" customFormat="1" x14ac:dyDescent="0.2">
      <c r="A34" s="609"/>
      <c r="B34" s="608"/>
      <c r="C34" s="608" t="s">
        <v>3885</v>
      </c>
      <c r="D34" s="608"/>
      <c r="E34" s="608"/>
      <c r="F34" s="608"/>
      <c r="G34" s="608"/>
      <c r="H34" s="608"/>
      <c r="I34" s="608"/>
      <c r="J34" s="608" t="s">
        <v>3885</v>
      </c>
      <c r="K34" s="608"/>
      <c r="L34" s="608"/>
      <c r="M34" s="608"/>
      <c r="N34" s="608"/>
      <c r="O34" s="608"/>
      <c r="P34" s="608"/>
    </row>
    <row r="35" spans="1:16" s="191" customFormat="1" x14ac:dyDescent="0.2">
      <c r="A35" s="609"/>
      <c r="B35" s="608"/>
      <c r="C35" s="608"/>
      <c r="D35" s="608"/>
      <c r="E35" s="608"/>
      <c r="F35" s="608"/>
      <c r="G35" s="608"/>
      <c r="H35" s="608"/>
      <c r="I35" s="608"/>
      <c r="J35" s="608"/>
      <c r="K35" s="608"/>
      <c r="L35" s="608"/>
      <c r="M35" s="608"/>
      <c r="N35" s="608"/>
      <c r="O35" s="608"/>
      <c r="P35" s="608"/>
    </row>
    <row r="36" spans="1:16" s="191" customFormat="1" x14ac:dyDescent="0.2">
      <c r="A36" s="609"/>
      <c r="B36" s="608"/>
      <c r="C36" s="610"/>
      <c r="D36" s="610"/>
      <c r="E36" s="610"/>
      <c r="F36" s="610"/>
      <c r="G36" s="610"/>
      <c r="H36" s="608"/>
      <c r="I36" s="608"/>
      <c r="J36" s="610"/>
      <c r="K36" s="610"/>
      <c r="L36" s="610"/>
      <c r="M36" s="610"/>
      <c r="N36" s="610"/>
      <c r="O36" s="608"/>
      <c r="P36" s="608"/>
    </row>
    <row r="37" spans="1:16" s="191" customFormat="1" x14ac:dyDescent="0.2">
      <c r="A37" s="609"/>
      <c r="B37" s="608"/>
      <c r="C37" s="608" t="s">
        <v>3886</v>
      </c>
      <c r="D37" s="608"/>
      <c r="E37" s="608"/>
      <c r="F37" s="608"/>
      <c r="G37" s="608"/>
      <c r="H37" s="608"/>
      <c r="I37" s="608"/>
      <c r="J37" s="608" t="s">
        <v>3886</v>
      </c>
      <c r="K37" s="608"/>
      <c r="L37" s="608"/>
      <c r="M37" s="608"/>
      <c r="N37" s="608"/>
      <c r="O37" s="608"/>
      <c r="P37" s="608"/>
    </row>
    <row r="38" spans="1:16" s="191" customFormat="1" x14ac:dyDescent="0.2">
      <c r="A38" s="609"/>
      <c r="B38" s="608"/>
      <c r="C38" s="608"/>
      <c r="D38" s="608"/>
      <c r="E38" s="608"/>
      <c r="F38" s="608"/>
      <c r="G38" s="608"/>
      <c r="H38" s="608"/>
      <c r="I38" s="608"/>
      <c r="J38" s="608"/>
      <c r="K38" s="608"/>
      <c r="L38" s="608"/>
      <c r="M38" s="608"/>
      <c r="N38" s="608"/>
      <c r="O38" s="608"/>
      <c r="P38" s="608"/>
    </row>
    <row r="39" spans="1:16" s="191" customFormat="1" x14ac:dyDescent="0.2">
      <c r="A39" s="609"/>
      <c r="B39" s="608"/>
      <c r="C39" s="610"/>
      <c r="D39" s="610"/>
      <c r="E39" s="610"/>
      <c r="F39" s="610"/>
      <c r="G39" s="610"/>
      <c r="H39" s="608"/>
      <c r="I39" s="608"/>
      <c r="J39" s="610"/>
      <c r="K39" s="610"/>
      <c r="L39" s="610"/>
      <c r="M39" s="610"/>
      <c r="N39" s="610"/>
      <c r="O39" s="608"/>
      <c r="P39" s="608"/>
    </row>
    <row r="40" spans="1:16" s="191" customFormat="1" x14ac:dyDescent="0.2">
      <c r="A40" s="609"/>
      <c r="B40" s="608"/>
      <c r="C40" s="608" t="s">
        <v>3070</v>
      </c>
      <c r="D40" s="608"/>
      <c r="E40" s="608"/>
      <c r="F40" s="608"/>
      <c r="G40" s="608"/>
      <c r="H40" s="608"/>
      <c r="I40" s="608"/>
      <c r="J40" s="608" t="s">
        <v>3070</v>
      </c>
      <c r="K40" s="608"/>
      <c r="L40" s="608"/>
      <c r="M40" s="608"/>
      <c r="N40" s="608"/>
      <c r="O40" s="608"/>
      <c r="P40" s="608"/>
    </row>
    <row r="41" spans="1:16" s="191" customFormat="1" x14ac:dyDescent="0.2">
      <c r="A41" s="609"/>
      <c r="B41" s="608"/>
      <c r="C41" s="608"/>
      <c r="D41" s="608"/>
      <c r="E41" s="608"/>
      <c r="F41" s="608"/>
      <c r="G41" s="608"/>
      <c r="H41" s="608"/>
      <c r="I41" s="608"/>
      <c r="J41" s="608"/>
      <c r="K41" s="608"/>
      <c r="L41" s="608"/>
      <c r="M41" s="608"/>
      <c r="N41" s="608"/>
      <c r="O41" s="608"/>
      <c r="P41" s="608"/>
    </row>
    <row r="42" spans="1:16" s="191" customFormat="1" x14ac:dyDescent="0.2">
      <c r="A42" s="609"/>
      <c r="B42" s="608"/>
      <c r="C42" s="610"/>
      <c r="D42" s="610"/>
      <c r="E42" s="610"/>
      <c r="F42" s="610"/>
      <c r="G42" s="610"/>
      <c r="H42" s="608"/>
      <c r="I42" s="608"/>
      <c r="J42" s="610"/>
      <c r="K42" s="610"/>
      <c r="L42" s="610"/>
      <c r="M42" s="610"/>
      <c r="N42" s="610"/>
      <c r="O42" s="608"/>
      <c r="P42" s="608"/>
    </row>
    <row r="43" spans="1:16" s="191" customFormat="1" x14ac:dyDescent="0.2">
      <c r="A43" s="609"/>
      <c r="B43" s="608"/>
      <c r="C43" s="608" t="s">
        <v>3071</v>
      </c>
      <c r="D43" s="608"/>
      <c r="E43" s="608"/>
      <c r="F43" s="608"/>
      <c r="G43" s="608"/>
      <c r="H43" s="608"/>
      <c r="I43" s="608"/>
      <c r="J43" s="608" t="s">
        <v>3071</v>
      </c>
      <c r="K43" s="608"/>
      <c r="L43" s="608"/>
      <c r="M43" s="608"/>
      <c r="N43" s="608"/>
      <c r="O43" s="608"/>
      <c r="P43" s="608"/>
    </row>
    <row r="44" spans="1:16" s="191" customFormat="1" x14ac:dyDescent="0.2">
      <c r="A44" s="609"/>
      <c r="B44" s="608"/>
      <c r="C44" s="608"/>
      <c r="D44" s="608"/>
      <c r="E44" s="608"/>
      <c r="F44" s="608"/>
      <c r="G44" s="608"/>
      <c r="H44" s="608"/>
      <c r="I44" s="608"/>
      <c r="J44" s="608"/>
      <c r="K44" s="608"/>
      <c r="L44" s="608"/>
      <c r="M44" s="608"/>
      <c r="N44" s="608"/>
      <c r="O44" s="608"/>
      <c r="P44" s="608"/>
    </row>
    <row r="45" spans="1:16" s="191" customFormat="1" x14ac:dyDescent="0.2">
      <c r="A45" s="607"/>
    </row>
    <row r="46" spans="1:16" s="191" customFormat="1" x14ac:dyDescent="0.2">
      <c r="A46" s="607"/>
    </row>
    <row r="47" spans="1:16" s="191" customFormat="1" x14ac:dyDescent="0.2"/>
    <row r="48" spans="1:16" s="191" customFormat="1" x14ac:dyDescent="0.2"/>
  </sheetData>
  <sheetProtection algorithmName="SHA-512" hashValue="4fFnvc3ggV/X0RP7E4joLKQOP3d0CXr3oZayUtNy6G9CAV+8EJNQqRuCVntgc/O34Qg+60WNzI6kv0OiD1SVjg==" saltValue="uB48SxlbGXy7moCpsS6swQ==" spinCount="100000" sheet="1" scenarios="1"/>
  <mergeCells count="3">
    <mergeCell ref="A6:P6"/>
    <mergeCell ref="A8:P8"/>
    <mergeCell ref="A4:P4"/>
  </mergeCells>
  <pageMargins left="0.7" right="0.7" top="0.75" bottom="0.75" header="0.3" footer="0.3"/>
  <pageSetup scale="5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theme="8"/>
    <pageSetUpPr fitToPage="1"/>
  </sheetPr>
  <dimension ref="A1:Q165"/>
  <sheetViews>
    <sheetView zoomScale="85" zoomScaleNormal="85" zoomScaleSheetLayoutView="70" workbookViewId="0">
      <selection activeCell="B147" sqref="B147"/>
    </sheetView>
  </sheetViews>
  <sheetFormatPr defaultColWidth="9" defaultRowHeight="14.25" x14ac:dyDescent="0.2"/>
  <cols>
    <col min="1" max="1" width="2.625" style="191" customWidth="1"/>
    <col min="2" max="2" width="9" style="191"/>
    <col min="3" max="3" width="29.25" style="191" customWidth="1"/>
    <col min="4" max="4" width="24.875" style="191" customWidth="1"/>
    <col min="5" max="5" width="19.875" style="191" customWidth="1"/>
    <col min="6" max="6" width="23.25" style="191" customWidth="1"/>
    <col min="7" max="7" width="31.875" style="191" customWidth="1"/>
    <col min="8" max="8" width="14.125" style="191" customWidth="1"/>
    <col min="9" max="9" width="11" style="191" hidden="1" customWidth="1"/>
    <col min="10" max="16" width="9" style="191" hidden="1" customWidth="1"/>
    <col min="17" max="18" width="9" style="191" customWidth="1"/>
    <col min="19" max="16384" width="9" style="191"/>
  </cols>
  <sheetData>
    <row r="1" spans="1:16" ht="54.95" customHeight="1" x14ac:dyDescent="0.2">
      <c r="C1" s="178"/>
    </row>
    <row r="2" spans="1:16" s="413" customFormat="1" ht="22.5" x14ac:dyDescent="0.3">
      <c r="A2" s="411" t="s">
        <v>4709</v>
      </c>
      <c r="B2" s="411"/>
      <c r="C2" s="412"/>
    </row>
    <row r="3" spans="1:16" s="193" customFormat="1" ht="15.75" x14ac:dyDescent="0.25">
      <c r="A3" s="671" t="s">
        <v>4297</v>
      </c>
      <c r="B3" s="344"/>
      <c r="C3" s="38">
        <f>Transmittal!C3</f>
        <v>0</v>
      </c>
    </row>
    <row r="5" spans="1:16" ht="18" x14ac:dyDescent="0.25">
      <c r="B5" s="372" t="s">
        <v>4200</v>
      </c>
      <c r="C5" s="373"/>
      <c r="D5" s="373"/>
      <c r="E5" s="373"/>
      <c r="F5" s="373"/>
      <c r="G5" s="373"/>
    </row>
    <row r="6" spans="1:16" x14ac:dyDescent="0.2">
      <c r="I6" s="5"/>
    </row>
    <row r="7" spans="1:16" x14ac:dyDescent="0.2">
      <c r="C7" s="5" t="s">
        <v>4197</v>
      </c>
      <c r="D7" s="217">
        <f>'Housing Credits'!C43</f>
        <v>0</v>
      </c>
      <c r="F7" s="5" t="s">
        <v>4198</v>
      </c>
      <c r="G7" s="374">
        <f>'Budget &amp; Costs'!S408</f>
        <v>0</v>
      </c>
      <c r="I7" s="5"/>
    </row>
    <row r="8" spans="1:16" x14ac:dyDescent="0.2">
      <c r="C8" s="5" t="s">
        <v>4121</v>
      </c>
      <c r="D8" s="698"/>
      <c r="F8" s="5" t="s">
        <v>3621</v>
      </c>
      <c r="G8" s="375">
        <f>'Budget &amp; Costs'!C45</f>
        <v>0</v>
      </c>
      <c r="I8" s="5"/>
    </row>
    <row r="9" spans="1:16" x14ac:dyDescent="0.2">
      <c r="C9" s="5" t="s">
        <v>4710</v>
      </c>
      <c r="D9" s="374">
        <f>IF(D8="New Affordability: PJ",2500000,IF(D8="New Affordability: Non-PJ",3000000,0))</f>
        <v>0</v>
      </c>
      <c r="F9" s="5" t="s">
        <v>4199</v>
      </c>
      <c r="G9" s="375">
        <f>'Budget &amp; Costs'!D50</f>
        <v>0</v>
      </c>
      <c r="I9" s="5"/>
    </row>
    <row r="10" spans="1:16" ht="15" x14ac:dyDescent="0.25">
      <c r="C10" s="56" t="s">
        <v>4180</v>
      </c>
      <c r="D10" s="217">
        <f>'Budget &amp; Costs'!G239</f>
        <v>0</v>
      </c>
    </row>
    <row r="11" spans="1:16" ht="15" x14ac:dyDescent="0.25">
      <c r="C11" s="56" t="s">
        <v>4182</v>
      </c>
      <c r="D11" s="217">
        <f>'Budget &amp; Costs'!G240</f>
        <v>0</v>
      </c>
      <c r="F11" s="5"/>
      <c r="G11" s="5"/>
      <c r="H11" s="377"/>
    </row>
    <row r="12" spans="1:16" ht="15" x14ac:dyDescent="0.25">
      <c r="C12" s="56" t="s">
        <v>5050</v>
      </c>
      <c r="D12" s="217">
        <f>D10+D11</f>
        <v>0</v>
      </c>
      <c r="F12" s="5" t="s">
        <v>5067</v>
      </c>
      <c r="G12" s="699">
        <f>G84</f>
        <v>0</v>
      </c>
      <c r="I12" s="191" t="s">
        <v>4711</v>
      </c>
      <c r="K12" s="10">
        <f>I83</f>
        <v>0</v>
      </c>
    </row>
    <row r="13" spans="1:16" ht="15" x14ac:dyDescent="0.25">
      <c r="C13" s="56"/>
      <c r="D13"/>
    </row>
    <row r="15" spans="1:16" ht="22.5" customHeight="1" x14ac:dyDescent="0.25">
      <c r="A15" s="1273" t="s">
        <v>4712</v>
      </c>
      <c r="B15" s="1274"/>
      <c r="C15" s="1274"/>
      <c r="D15" s="1274"/>
      <c r="E15" s="1274"/>
      <c r="F15" s="1274"/>
      <c r="G15" s="1275"/>
      <c r="H15" s="672"/>
      <c r="I15"/>
      <c r="J15" s="1262" t="s">
        <v>4713</v>
      </c>
      <c r="K15" s="1262"/>
      <c r="L15" s="1262"/>
      <c r="M15" s="1262"/>
      <c r="N15" s="1262"/>
      <c r="O15" s="1262"/>
      <c r="P15" s="1262"/>
    </row>
    <row r="16" spans="1:16" ht="16.5" customHeight="1" x14ac:dyDescent="0.25">
      <c r="A16" s="1158" t="s">
        <v>4714</v>
      </c>
      <c r="B16" s="1159"/>
      <c r="C16" s="1159"/>
      <c r="D16" s="1159"/>
      <c r="E16" s="1159"/>
      <c r="F16" s="1159"/>
      <c r="G16" s="1160"/>
      <c r="J16" s="1263"/>
      <c r="K16" s="1264"/>
      <c r="L16" s="1264"/>
      <c r="M16" s="1264"/>
      <c r="N16" s="1264"/>
      <c r="O16" s="1264"/>
      <c r="P16" s="1265"/>
    </row>
    <row r="17" spans="1:16" x14ac:dyDescent="0.2">
      <c r="B17"/>
      <c r="J17" s="1266"/>
      <c r="K17" s="1267"/>
      <c r="L17" s="1267"/>
      <c r="M17" s="1267"/>
      <c r="N17" s="1267"/>
      <c r="O17" s="1267"/>
      <c r="P17" s="1268"/>
    </row>
    <row r="18" spans="1:16" ht="15" x14ac:dyDescent="0.25">
      <c r="B18" s="373" t="s">
        <v>4715</v>
      </c>
      <c r="G18" s="673" t="s">
        <v>4716</v>
      </c>
      <c r="J18" s="1266"/>
      <c r="K18" s="1267"/>
      <c r="L18" s="1267"/>
      <c r="M18" s="1267"/>
      <c r="N18" s="1267"/>
      <c r="O18" s="1267"/>
      <c r="P18" s="1268"/>
    </row>
    <row r="19" spans="1:16" x14ac:dyDescent="0.2">
      <c r="B19" s="5" t="s">
        <v>4717</v>
      </c>
      <c r="G19" s="221">
        <f>IFERROR(SUM('Budget &amp; Costs'!F67+'Budget &amp; Costs'!F68+'Budget &amp; Costs'!F69+'Budget &amp; Costs'!F70),0)</f>
        <v>0</v>
      </c>
      <c r="J19" s="1266"/>
      <c r="K19" s="1267"/>
      <c r="L19" s="1267"/>
      <c r="M19" s="1267"/>
      <c r="N19" s="1267"/>
      <c r="O19" s="1267"/>
      <c r="P19" s="1268"/>
    </row>
    <row r="20" spans="1:16" x14ac:dyDescent="0.2">
      <c r="B20" s="5"/>
      <c r="G20" s="867" t="s">
        <v>5131</v>
      </c>
      <c r="J20" s="1266"/>
      <c r="K20" s="1267"/>
      <c r="L20" s="1267"/>
      <c r="M20" s="1267"/>
      <c r="N20" s="1267"/>
      <c r="O20" s="1267"/>
      <c r="P20" s="1268"/>
    </row>
    <row r="21" spans="1:16" ht="15" x14ac:dyDescent="0.25">
      <c r="B21" s="298" t="s">
        <v>4718</v>
      </c>
      <c r="J21" s="1266"/>
      <c r="K21" s="1267"/>
      <c r="L21" s="1267"/>
      <c r="M21" s="1267"/>
      <c r="N21" s="1267"/>
      <c r="O21" s="1267"/>
      <c r="P21" s="1268"/>
    </row>
    <row r="22" spans="1:16" x14ac:dyDescent="0.2">
      <c r="B22" s="191" t="s">
        <v>4719</v>
      </c>
      <c r="G22" s="221">
        <f>IFERROR(SUM('Budget &amp; Costs'!F67+'Budget &amp; Costs'!F68+'Budget &amp; Costs'!F69+'Budget &amp; Costs'!F70),0)</f>
        <v>0</v>
      </c>
      <c r="J22" s="1266"/>
      <c r="K22" s="1267"/>
      <c r="L22" s="1267"/>
      <c r="M22" s="1267"/>
      <c r="N22" s="1267"/>
      <c r="O22" s="1267"/>
      <c r="P22" s="1268"/>
    </row>
    <row r="23" spans="1:16" x14ac:dyDescent="0.2">
      <c r="G23" s="867" t="s">
        <v>5131</v>
      </c>
      <c r="J23" s="1266"/>
      <c r="K23" s="1267"/>
      <c r="L23" s="1267"/>
      <c r="M23" s="1267"/>
      <c r="N23" s="1267"/>
      <c r="O23" s="1267"/>
      <c r="P23" s="1268"/>
    </row>
    <row r="24" spans="1:16" ht="15" x14ac:dyDescent="0.25">
      <c r="B24" s="373" t="s">
        <v>4720</v>
      </c>
      <c r="J24" s="1266"/>
      <c r="K24" s="1267"/>
      <c r="L24" s="1267"/>
      <c r="M24" s="1267"/>
      <c r="N24" s="1267"/>
      <c r="O24" s="1267"/>
      <c r="P24" s="1268"/>
    </row>
    <row r="25" spans="1:16" ht="27.75" customHeight="1" x14ac:dyDescent="0.2">
      <c r="B25" s="1272" t="s">
        <v>4721</v>
      </c>
      <c r="C25" s="1272"/>
      <c r="D25" s="1272"/>
      <c r="E25" s="1272"/>
      <c r="F25" s="1272"/>
      <c r="G25" s="1272"/>
      <c r="J25" s="1266"/>
      <c r="K25" s="1267"/>
      <c r="L25" s="1267"/>
      <c r="M25" s="1267"/>
      <c r="N25" s="1267"/>
      <c r="O25" s="1267"/>
      <c r="P25" s="1268"/>
    </row>
    <row r="26" spans="1:16" x14ac:dyDescent="0.2">
      <c r="B26" s="5" t="s">
        <v>4722</v>
      </c>
      <c r="F26" s="674" t="s">
        <v>4723</v>
      </c>
      <c r="G26" s="700">
        <f>ROUNDUP(IF('Budget &amp; Costs'!D50*0.1&lt;5,5,'Budget &amp; Costs'!D50*0.1),0)</f>
        <v>5</v>
      </c>
      <c r="J26" s="1266"/>
      <c r="K26" s="1267"/>
      <c r="L26" s="1267"/>
      <c r="M26" s="1267"/>
      <c r="N26" s="1267"/>
      <c r="O26" s="1267"/>
      <c r="P26" s="1268"/>
    </row>
    <row r="27" spans="1:16" x14ac:dyDescent="0.2">
      <c r="B27" t="s">
        <v>4724</v>
      </c>
      <c r="F27" s="674" t="s">
        <v>4725</v>
      </c>
      <c r="G27" s="700">
        <f>SUM('Budget &amp; Costs'!D69+'Budget &amp; Costs'!D70)</f>
        <v>0</v>
      </c>
      <c r="J27" s="1266"/>
      <c r="K27" s="1267"/>
      <c r="L27" s="1267"/>
      <c r="M27" s="1267"/>
      <c r="N27" s="1267"/>
      <c r="O27" s="1267"/>
      <c r="P27" s="1268"/>
    </row>
    <row r="28" spans="1:16" ht="15" x14ac:dyDescent="0.25">
      <c r="B28" s="136" t="s">
        <v>5051</v>
      </c>
      <c r="F28" s="675"/>
      <c r="G28" s="858" t="s">
        <v>5131</v>
      </c>
      <c r="J28" s="1269"/>
      <c r="K28" s="1270"/>
      <c r="L28" s="1270"/>
      <c r="M28" s="1270"/>
      <c r="N28" s="1270"/>
      <c r="O28" s="1270"/>
      <c r="P28" s="1271"/>
    </row>
    <row r="30" spans="1:16" ht="22.5" customHeight="1" x14ac:dyDescent="0.25">
      <c r="A30" s="1273" t="s">
        <v>5057</v>
      </c>
      <c r="B30" s="1274"/>
      <c r="C30" s="1274"/>
      <c r="D30" s="1274"/>
      <c r="E30" s="1274"/>
      <c r="F30" s="1274"/>
      <c r="G30" s="1275"/>
      <c r="J30" s="1262" t="s">
        <v>5082</v>
      </c>
      <c r="K30" s="1262"/>
      <c r="L30" s="1262"/>
      <c r="M30" s="1262"/>
      <c r="N30" s="1262"/>
      <c r="O30" s="1262"/>
      <c r="P30" s="1262"/>
    </row>
    <row r="31" spans="1:16" ht="94.5" customHeight="1" x14ac:dyDescent="0.25">
      <c r="A31" s="1276" t="s">
        <v>5058</v>
      </c>
      <c r="B31" s="1277"/>
      <c r="C31" s="1277"/>
      <c r="D31" s="1277"/>
      <c r="E31" s="1277"/>
      <c r="F31" s="1277"/>
      <c r="G31" s="1278"/>
      <c r="J31" s="1280"/>
      <c r="K31" s="1280"/>
      <c r="L31" s="1280"/>
      <c r="M31" s="1280"/>
      <c r="N31" s="1280"/>
      <c r="O31" s="1280"/>
      <c r="P31" s="1280"/>
    </row>
    <row r="32" spans="1:16" x14ac:dyDescent="0.2">
      <c r="J32" s="1280"/>
      <c r="K32" s="1280"/>
      <c r="L32" s="1280"/>
      <c r="M32" s="1280"/>
      <c r="N32" s="1280"/>
      <c r="O32" s="1280"/>
      <c r="P32" s="1280"/>
    </row>
    <row r="33" spans="1:16" ht="15" x14ac:dyDescent="0.25">
      <c r="B33" s="136" t="s">
        <v>5060</v>
      </c>
      <c r="J33" s="1280"/>
      <c r="K33" s="1280"/>
      <c r="L33" s="1280"/>
      <c r="M33" s="1280"/>
      <c r="N33" s="1280"/>
      <c r="O33" s="1280"/>
      <c r="P33" s="1280"/>
    </row>
    <row r="34" spans="1:16" x14ac:dyDescent="0.2">
      <c r="B34" s="172"/>
      <c r="J34" s="1280"/>
      <c r="K34" s="1280"/>
      <c r="L34" s="1280"/>
      <c r="M34" s="1280"/>
      <c r="N34" s="1280"/>
      <c r="O34" s="1280"/>
      <c r="P34" s="1280"/>
    </row>
    <row r="35" spans="1:16" x14ac:dyDescent="0.2">
      <c r="J35" s="1280"/>
      <c r="K35" s="1280"/>
      <c r="L35" s="1280"/>
      <c r="M35" s="1280"/>
      <c r="N35" s="1280"/>
      <c r="O35" s="1280"/>
      <c r="P35" s="1280"/>
    </row>
    <row r="36" spans="1:16" ht="30.75" customHeight="1" x14ac:dyDescent="0.25">
      <c r="B36" s="1279" t="s">
        <v>5059</v>
      </c>
      <c r="C36" s="1279"/>
      <c r="D36" s="1279"/>
      <c r="E36" s="1279"/>
      <c r="F36" s="1279"/>
      <c r="G36" s="1279"/>
      <c r="J36" s="1280"/>
      <c r="K36" s="1280"/>
      <c r="L36" s="1280"/>
      <c r="M36" s="1280"/>
      <c r="N36" s="1280"/>
      <c r="O36" s="1280"/>
      <c r="P36" s="1280"/>
    </row>
    <row r="37" spans="1:16" x14ac:dyDescent="0.2">
      <c r="B37" s="172"/>
      <c r="J37" s="1280"/>
      <c r="K37" s="1280"/>
      <c r="L37" s="1280"/>
      <c r="M37" s="1280"/>
      <c r="N37" s="1280"/>
      <c r="O37" s="1280"/>
      <c r="P37" s="1280"/>
    </row>
    <row r="39" spans="1:16" ht="22.5" customHeight="1" x14ac:dyDescent="0.25">
      <c r="A39" s="1273" t="s">
        <v>5056</v>
      </c>
      <c r="B39" s="1274"/>
      <c r="C39" s="1274"/>
      <c r="D39" s="1274"/>
      <c r="E39" s="1274"/>
      <c r="F39" s="1274"/>
      <c r="G39" s="1275"/>
      <c r="H39" s="672"/>
      <c r="I39" t="s">
        <v>4303</v>
      </c>
      <c r="J39" s="1262" t="s">
        <v>4726</v>
      </c>
      <c r="K39" s="1262"/>
      <c r="L39" s="1262"/>
      <c r="M39" s="1262"/>
      <c r="N39" s="1262"/>
      <c r="O39" s="1262"/>
      <c r="P39" s="1262"/>
    </row>
    <row r="40" spans="1:16" x14ac:dyDescent="0.2">
      <c r="B40" s="172"/>
      <c r="C40" s="1257" t="s">
        <v>5054</v>
      </c>
      <c r="D40" s="1257"/>
      <c r="E40" s="1257"/>
      <c r="F40" s="1257"/>
      <c r="G40" s="1258"/>
      <c r="H40" s="198"/>
      <c r="I40" s="376"/>
      <c r="J40" s="1247"/>
      <c r="K40" s="1247"/>
      <c r="L40" s="1247"/>
      <c r="M40" s="1247"/>
      <c r="N40" s="1247"/>
      <c r="O40" s="1247"/>
      <c r="P40" s="1247"/>
    </row>
    <row r="41" spans="1:16" ht="75.75" customHeight="1" x14ac:dyDescent="0.2">
      <c r="B41" s="198"/>
      <c r="C41" s="1259"/>
      <c r="D41" s="1260"/>
      <c r="E41" s="1260"/>
      <c r="F41" s="1260"/>
      <c r="G41" s="1261"/>
      <c r="H41" s="198"/>
      <c r="J41" s="1247"/>
      <c r="K41" s="1247"/>
      <c r="L41" s="1247"/>
      <c r="M41" s="1247"/>
      <c r="N41" s="1247"/>
      <c r="O41" s="1247"/>
      <c r="P41" s="1247"/>
    </row>
    <row r="42" spans="1:16" x14ac:dyDescent="0.2">
      <c r="C42" s="378"/>
      <c r="D42" s="379"/>
      <c r="E42" s="379"/>
      <c r="F42" s="379"/>
      <c r="G42" s="379"/>
      <c r="J42" s="1247"/>
      <c r="K42" s="1247"/>
      <c r="L42" s="1247"/>
      <c r="M42" s="1247"/>
      <c r="N42" s="1247"/>
      <c r="O42" s="1247"/>
      <c r="P42" s="1247"/>
    </row>
    <row r="43" spans="1:16" x14ac:dyDescent="0.2">
      <c r="C43" s="1248" t="s">
        <v>4201</v>
      </c>
      <c r="D43" s="1249"/>
      <c r="E43" s="1249"/>
      <c r="F43" s="1249"/>
      <c r="G43" s="1250"/>
      <c r="J43" s="1247"/>
      <c r="K43" s="1247"/>
      <c r="L43" s="1247"/>
      <c r="M43" s="1247"/>
      <c r="N43" s="1247"/>
      <c r="O43" s="1247"/>
      <c r="P43" s="1247"/>
    </row>
    <row r="44" spans="1:16" x14ac:dyDescent="0.2">
      <c r="C44" s="1251"/>
      <c r="D44" s="1252"/>
      <c r="E44" s="1252"/>
      <c r="F44" s="1252"/>
      <c r="G44" s="1253"/>
      <c r="J44" s="1247"/>
      <c r="K44" s="1247"/>
      <c r="L44" s="1247"/>
      <c r="M44" s="1247"/>
      <c r="N44" s="1247"/>
      <c r="O44" s="1247"/>
      <c r="P44" s="1247"/>
    </row>
    <row r="45" spans="1:16" x14ac:dyDescent="0.2">
      <c r="C45" s="1251"/>
      <c r="D45" s="1252"/>
      <c r="E45" s="1252"/>
      <c r="F45" s="1252"/>
      <c r="G45" s="1253"/>
      <c r="J45" s="1247"/>
      <c r="K45" s="1247"/>
      <c r="L45" s="1247"/>
      <c r="M45" s="1247"/>
      <c r="N45" s="1247"/>
      <c r="O45" s="1247"/>
      <c r="P45" s="1247"/>
    </row>
    <row r="46" spans="1:16" x14ac:dyDescent="0.2">
      <c r="C46" s="1251"/>
      <c r="D46" s="1252"/>
      <c r="E46" s="1252"/>
      <c r="F46" s="1252"/>
      <c r="G46" s="1253"/>
      <c r="J46" s="1247"/>
      <c r="K46" s="1247"/>
      <c r="L46" s="1247"/>
      <c r="M46" s="1247"/>
      <c r="N46" s="1247"/>
      <c r="O46" s="1247"/>
      <c r="P46" s="1247"/>
    </row>
    <row r="47" spans="1:16" x14ac:dyDescent="0.2">
      <c r="C47" s="1251"/>
      <c r="D47" s="1252"/>
      <c r="E47" s="1252"/>
      <c r="F47" s="1252"/>
      <c r="G47" s="1253"/>
      <c r="J47" s="1247"/>
      <c r="K47" s="1247"/>
      <c r="L47" s="1247"/>
      <c r="M47" s="1247"/>
      <c r="N47" s="1247"/>
      <c r="O47" s="1247"/>
      <c r="P47" s="1247"/>
    </row>
    <row r="48" spans="1:16" x14ac:dyDescent="0.2">
      <c r="C48" s="1254"/>
      <c r="D48" s="1255"/>
      <c r="E48" s="1255"/>
      <c r="F48" s="1255"/>
      <c r="G48" s="1256"/>
      <c r="J48" s="1247"/>
      <c r="K48" s="1247"/>
      <c r="L48" s="1247"/>
      <c r="M48" s="1247"/>
      <c r="N48" s="1247"/>
      <c r="O48" s="1247"/>
      <c r="P48" s="1247"/>
    </row>
    <row r="49" spans="2:16" x14ac:dyDescent="0.2">
      <c r="C49" s="378"/>
      <c r="D49" s="379"/>
      <c r="E49" s="379"/>
      <c r="F49" s="379"/>
      <c r="G49" s="379"/>
      <c r="I49" s="191" t="s">
        <v>5083</v>
      </c>
      <c r="J49" s="5"/>
      <c r="K49" s="5"/>
      <c r="L49" s="5"/>
      <c r="M49" s="5"/>
      <c r="N49" s="5"/>
      <c r="O49" s="5"/>
      <c r="P49" s="5"/>
    </row>
    <row r="50" spans="2:16" x14ac:dyDescent="0.2">
      <c r="B50" s="172"/>
      <c r="C50" s="1257" t="s">
        <v>5053</v>
      </c>
      <c r="D50" s="1257"/>
      <c r="E50" s="1257"/>
      <c r="F50" s="1257"/>
      <c r="G50" s="1258"/>
      <c r="H50" s="198"/>
      <c r="I50" s="376"/>
      <c r="J50" s="1281"/>
      <c r="K50" s="1282"/>
      <c r="L50" s="1282"/>
      <c r="M50" s="1282"/>
      <c r="N50" s="1282"/>
      <c r="O50" s="1282"/>
      <c r="P50" s="1283"/>
    </row>
    <row r="51" spans="2:16" ht="45.75" customHeight="1" x14ac:dyDescent="0.2">
      <c r="B51" s="198"/>
      <c r="C51" s="1259"/>
      <c r="D51" s="1260"/>
      <c r="E51" s="1260"/>
      <c r="F51" s="1260"/>
      <c r="G51" s="1261"/>
      <c r="H51" s="198"/>
      <c r="J51" s="1284"/>
      <c r="K51" s="1285"/>
      <c r="L51" s="1285"/>
      <c r="M51" s="1285"/>
      <c r="N51" s="1285"/>
      <c r="O51" s="1285"/>
      <c r="P51" s="1286"/>
    </row>
    <row r="52" spans="2:16" x14ac:dyDescent="0.2">
      <c r="C52" s="378"/>
      <c r="D52" s="379"/>
      <c r="E52" s="379"/>
      <c r="F52" s="379"/>
      <c r="G52" s="379"/>
      <c r="J52" s="1284"/>
      <c r="K52" s="1285"/>
      <c r="L52" s="1285"/>
      <c r="M52" s="1285"/>
      <c r="N52" s="1285"/>
      <c r="O52" s="1285"/>
      <c r="P52" s="1286"/>
    </row>
    <row r="53" spans="2:16" x14ac:dyDescent="0.2">
      <c r="C53" s="1248" t="s">
        <v>4201</v>
      </c>
      <c r="D53" s="1249"/>
      <c r="E53" s="1249"/>
      <c r="F53" s="1249"/>
      <c r="G53" s="1250"/>
      <c r="J53" s="1284"/>
      <c r="K53" s="1285"/>
      <c r="L53" s="1285"/>
      <c r="M53" s="1285"/>
      <c r="N53" s="1285"/>
      <c r="O53" s="1285"/>
      <c r="P53" s="1286"/>
    </row>
    <row r="54" spans="2:16" x14ac:dyDescent="0.2">
      <c r="C54" s="1251"/>
      <c r="D54" s="1252"/>
      <c r="E54" s="1252"/>
      <c r="F54" s="1252"/>
      <c r="G54" s="1253"/>
      <c r="J54" s="1284"/>
      <c r="K54" s="1285"/>
      <c r="L54" s="1285"/>
      <c r="M54" s="1285"/>
      <c r="N54" s="1285"/>
      <c r="O54" s="1285"/>
      <c r="P54" s="1286"/>
    </row>
    <row r="55" spans="2:16" x14ac:dyDescent="0.2">
      <c r="C55" s="1251"/>
      <c r="D55" s="1252"/>
      <c r="E55" s="1252"/>
      <c r="F55" s="1252"/>
      <c r="G55" s="1253"/>
      <c r="J55" s="1284"/>
      <c r="K55" s="1285"/>
      <c r="L55" s="1285"/>
      <c r="M55" s="1285"/>
      <c r="N55" s="1285"/>
      <c r="O55" s="1285"/>
      <c r="P55" s="1286"/>
    </row>
    <row r="56" spans="2:16" x14ac:dyDescent="0.2">
      <c r="C56" s="1251"/>
      <c r="D56" s="1252"/>
      <c r="E56" s="1252"/>
      <c r="F56" s="1252"/>
      <c r="G56" s="1253"/>
      <c r="J56" s="1284"/>
      <c r="K56" s="1285"/>
      <c r="L56" s="1285"/>
      <c r="M56" s="1285"/>
      <c r="N56" s="1285"/>
      <c r="O56" s="1285"/>
      <c r="P56" s="1286"/>
    </row>
    <row r="57" spans="2:16" x14ac:dyDescent="0.2">
      <c r="C57" s="1251"/>
      <c r="D57" s="1252"/>
      <c r="E57" s="1252"/>
      <c r="F57" s="1252"/>
      <c r="G57" s="1253"/>
      <c r="J57" s="1284"/>
      <c r="K57" s="1285"/>
      <c r="L57" s="1285"/>
      <c r="M57" s="1285"/>
      <c r="N57" s="1285"/>
      <c r="O57" s="1285"/>
      <c r="P57" s="1286"/>
    </row>
    <row r="58" spans="2:16" x14ac:dyDescent="0.2">
      <c r="C58" s="1254"/>
      <c r="D58" s="1255"/>
      <c r="E58" s="1255"/>
      <c r="F58" s="1255"/>
      <c r="G58" s="1256"/>
      <c r="J58" s="1287"/>
      <c r="K58" s="1288"/>
      <c r="L58" s="1288"/>
      <c r="M58" s="1288"/>
      <c r="N58" s="1288"/>
      <c r="O58" s="1288"/>
      <c r="P58" s="1289"/>
    </row>
    <row r="59" spans="2:16" x14ac:dyDescent="0.2">
      <c r="J59" s="460"/>
      <c r="K59" s="460"/>
      <c r="L59" s="460"/>
      <c r="M59" s="460"/>
      <c r="N59" s="460"/>
      <c r="O59" s="460"/>
      <c r="P59" s="460"/>
    </row>
    <row r="60" spans="2:16" x14ac:dyDescent="0.2">
      <c r="B60" s="5"/>
      <c r="C60" s="1290" t="s">
        <v>5072</v>
      </c>
      <c r="D60" s="1290"/>
      <c r="E60" s="1290"/>
      <c r="F60" s="1290"/>
      <c r="G60" s="1291"/>
      <c r="J60" s="1294" t="s">
        <v>4727</v>
      </c>
      <c r="K60" s="1294"/>
      <c r="L60" s="1294"/>
      <c r="M60" s="1294"/>
      <c r="N60" s="1294"/>
      <c r="O60" s="1294"/>
      <c r="P60" s="1294"/>
    </row>
    <row r="61" spans="2:16" x14ac:dyDescent="0.2">
      <c r="B61" s="5"/>
      <c r="C61" s="1292"/>
      <c r="D61" s="1292"/>
      <c r="E61" s="1292"/>
      <c r="F61" s="1292"/>
      <c r="G61" s="1293"/>
      <c r="J61" s="1294"/>
      <c r="K61" s="1294"/>
      <c r="L61" s="1294"/>
      <c r="M61" s="1294"/>
      <c r="N61" s="1294"/>
      <c r="O61" s="1294"/>
      <c r="P61" s="1294"/>
    </row>
    <row r="62" spans="2:16" x14ac:dyDescent="0.2">
      <c r="B62" s="1295"/>
      <c r="C62" s="1296"/>
      <c r="D62" s="1296"/>
      <c r="E62" s="1296"/>
      <c r="F62" s="1296"/>
      <c r="G62" s="1296"/>
      <c r="H62" s="26"/>
      <c r="I62" s="26"/>
      <c r="J62" s="1247"/>
      <c r="K62" s="1247"/>
      <c r="L62" s="1247"/>
      <c r="M62" s="1247"/>
      <c r="N62" s="1247"/>
      <c r="O62" s="1247"/>
      <c r="P62" s="1247"/>
    </row>
    <row r="63" spans="2:16" ht="14.25" customHeight="1" x14ac:dyDescent="0.2">
      <c r="C63" s="172"/>
      <c r="D63" s="1297" t="s">
        <v>4728</v>
      </c>
      <c r="E63" s="1044"/>
      <c r="F63" s="1044"/>
      <c r="G63" s="1044"/>
      <c r="H63" s="369"/>
      <c r="J63" s="1247"/>
      <c r="K63" s="1247"/>
      <c r="L63" s="1247"/>
      <c r="M63" s="1247"/>
      <c r="N63" s="1247"/>
      <c r="O63" s="1247"/>
      <c r="P63" s="1247"/>
    </row>
    <row r="64" spans="2:16" x14ac:dyDescent="0.2">
      <c r="C64" s="93"/>
      <c r="D64" s="93"/>
      <c r="E64" s="93"/>
      <c r="F64" s="93"/>
      <c r="G64" s="93"/>
      <c r="H64" s="93"/>
      <c r="J64" s="1247"/>
      <c r="K64" s="1247"/>
      <c r="L64" s="1247"/>
      <c r="M64" s="1247"/>
      <c r="N64" s="1247"/>
      <c r="O64" s="1247"/>
      <c r="P64" s="1247"/>
    </row>
    <row r="65" spans="3:16" ht="14.25" customHeight="1" x14ac:dyDescent="0.2">
      <c r="C65" s="172"/>
      <c r="D65" s="1044" t="s">
        <v>4357</v>
      </c>
      <c r="E65" s="1044"/>
      <c r="F65" s="1044"/>
      <c r="G65" s="1044"/>
      <c r="H65" s="369"/>
      <c r="J65" s="1247"/>
      <c r="K65" s="1247"/>
      <c r="L65" s="1247"/>
      <c r="M65" s="1247"/>
      <c r="N65" s="1247"/>
      <c r="O65" s="1247"/>
      <c r="P65" s="1247"/>
    </row>
    <row r="66" spans="3:16" ht="57" customHeight="1" x14ac:dyDescent="0.2">
      <c r="C66" s="93"/>
      <c r="D66" s="1044"/>
      <c r="E66" s="1044"/>
      <c r="F66" s="1044"/>
      <c r="G66" s="1044"/>
      <c r="H66" s="369"/>
      <c r="J66" s="1247"/>
      <c r="K66" s="1247"/>
      <c r="L66" s="1247"/>
      <c r="M66" s="1247"/>
      <c r="N66" s="1247"/>
      <c r="O66" s="1247"/>
      <c r="P66" s="1247"/>
    </row>
    <row r="67" spans="3:16" x14ac:dyDescent="0.2">
      <c r="C67" s="93"/>
      <c r="D67" s="93"/>
      <c r="E67" s="93"/>
      <c r="F67" s="93"/>
      <c r="G67" s="93"/>
      <c r="H67" s="93"/>
      <c r="J67" s="1247"/>
      <c r="K67" s="1247"/>
      <c r="L67" s="1247"/>
      <c r="M67" s="1247"/>
      <c r="N67" s="1247"/>
      <c r="O67" s="1247"/>
      <c r="P67" s="1247"/>
    </row>
    <row r="68" spans="3:16" ht="14.25" customHeight="1" x14ac:dyDescent="0.2">
      <c r="C68" s="172"/>
      <c r="D68" s="1044" t="s">
        <v>4729</v>
      </c>
      <c r="E68" s="1044"/>
      <c r="F68" s="1044"/>
      <c r="G68" s="1044"/>
      <c r="H68" s="369"/>
      <c r="J68" s="1247"/>
      <c r="K68" s="1247"/>
      <c r="L68" s="1247"/>
      <c r="M68" s="1247"/>
      <c r="N68" s="1247"/>
      <c r="O68" s="1247"/>
      <c r="P68" s="1247"/>
    </row>
    <row r="69" spans="3:16" ht="30.75" customHeight="1" x14ac:dyDescent="0.2">
      <c r="C69" s="93"/>
      <c r="D69" s="1044"/>
      <c r="E69" s="1044"/>
      <c r="F69" s="1044"/>
      <c r="G69" s="1044"/>
      <c r="H69" s="369"/>
      <c r="J69" s="1247"/>
      <c r="K69" s="1247"/>
      <c r="L69" s="1247"/>
      <c r="M69" s="1247"/>
      <c r="N69" s="1247"/>
      <c r="O69" s="1247"/>
      <c r="P69" s="1247"/>
    </row>
    <row r="70" spans="3:16" x14ac:dyDescent="0.2">
      <c r="C70" s="93"/>
      <c r="D70" s="93"/>
      <c r="E70" s="93"/>
      <c r="F70" s="93"/>
      <c r="G70" s="93"/>
      <c r="H70" s="93"/>
      <c r="J70" s="1247"/>
      <c r="K70" s="1247"/>
      <c r="L70" s="1247"/>
      <c r="M70" s="1247"/>
      <c r="N70" s="1247"/>
      <c r="O70" s="1247"/>
      <c r="P70" s="1247"/>
    </row>
    <row r="71" spans="3:16" ht="14.25" customHeight="1" x14ac:dyDescent="0.2">
      <c r="C71" s="172"/>
      <c r="D71" s="1044" t="s">
        <v>4203</v>
      </c>
      <c r="E71" s="1044"/>
      <c r="F71" s="1044"/>
      <c r="G71" s="1044"/>
      <c r="H71" s="369"/>
      <c r="J71" s="1247"/>
      <c r="K71" s="1247"/>
      <c r="L71" s="1247"/>
      <c r="M71" s="1247"/>
      <c r="N71" s="1247"/>
      <c r="O71" s="1247"/>
      <c r="P71" s="1247"/>
    </row>
    <row r="72" spans="3:16" ht="28.5" customHeight="1" x14ac:dyDescent="0.2">
      <c r="C72" s="93"/>
      <c r="D72" s="1044"/>
      <c r="E72" s="1044"/>
      <c r="F72" s="1044"/>
      <c r="G72" s="1044"/>
      <c r="H72" s="369"/>
      <c r="J72" s="1247"/>
      <c r="K72" s="1247"/>
      <c r="L72" s="1247"/>
      <c r="M72" s="1247"/>
      <c r="N72" s="1247"/>
      <c r="O72" s="1247"/>
      <c r="P72" s="1247"/>
    </row>
    <row r="73" spans="3:16" x14ac:dyDescent="0.2">
      <c r="C73" s="93"/>
      <c r="D73" s="93"/>
      <c r="E73" s="93"/>
      <c r="F73" s="93"/>
      <c r="G73" s="93"/>
      <c r="H73" s="93"/>
      <c r="J73" s="1247"/>
      <c r="K73" s="1247"/>
      <c r="L73" s="1247"/>
      <c r="M73" s="1247"/>
      <c r="N73" s="1247"/>
      <c r="O73" s="1247"/>
      <c r="P73" s="1247"/>
    </row>
    <row r="74" spans="3:16" ht="14.25" customHeight="1" x14ac:dyDescent="0.2">
      <c r="C74" s="172"/>
      <c r="D74" s="1044" t="s">
        <v>4730</v>
      </c>
      <c r="E74" s="1044"/>
      <c r="F74" s="1044"/>
      <c r="G74" s="1044"/>
      <c r="H74" s="369"/>
      <c r="J74" s="1247"/>
      <c r="K74" s="1247"/>
      <c r="L74" s="1247"/>
      <c r="M74" s="1247"/>
      <c r="N74" s="1247"/>
      <c r="O74" s="1247"/>
      <c r="P74" s="1247"/>
    </row>
    <row r="75" spans="3:16" x14ac:dyDescent="0.2">
      <c r="C75" s="93"/>
      <c r="D75" s="1044"/>
      <c r="E75" s="1044"/>
      <c r="F75" s="1044"/>
      <c r="G75" s="1044"/>
      <c r="H75" s="369"/>
      <c r="J75" s="1247"/>
      <c r="K75" s="1247"/>
      <c r="L75" s="1247"/>
      <c r="M75" s="1247"/>
      <c r="N75" s="1247"/>
      <c r="O75" s="1247"/>
      <c r="P75" s="1247"/>
    </row>
    <row r="76" spans="3:16" x14ac:dyDescent="0.2">
      <c r="C76" s="93"/>
      <c r="D76" s="369"/>
      <c r="E76" s="369"/>
      <c r="F76" s="369"/>
      <c r="G76" s="369"/>
      <c r="H76" s="369"/>
      <c r="J76" s="1247"/>
      <c r="K76" s="1247"/>
      <c r="L76" s="1247"/>
      <c r="M76" s="1247"/>
      <c r="N76" s="1247"/>
      <c r="O76" s="1247"/>
      <c r="P76" s="1247"/>
    </row>
    <row r="77" spans="3:16" ht="14.25" customHeight="1" x14ac:dyDescent="0.2">
      <c r="C77" s="172"/>
      <c r="D77" s="1297" t="s">
        <v>4204</v>
      </c>
      <c r="E77" s="1044"/>
      <c r="F77" s="1044"/>
      <c r="G77" s="1044"/>
      <c r="H77" s="369"/>
      <c r="J77" s="1247"/>
      <c r="K77" s="1247"/>
      <c r="L77" s="1247"/>
      <c r="M77" s="1247"/>
      <c r="N77" s="1247"/>
      <c r="O77" s="1247"/>
      <c r="P77" s="1247"/>
    </row>
    <row r="78" spans="3:16" x14ac:dyDescent="0.2">
      <c r="C78" s="93"/>
      <c r="D78" s="93"/>
      <c r="E78" s="93"/>
      <c r="F78" s="93"/>
      <c r="G78" s="93"/>
      <c r="H78" s="93"/>
      <c r="J78" s="1247"/>
      <c r="K78" s="1247"/>
      <c r="L78" s="1247"/>
      <c r="M78" s="1247"/>
      <c r="N78" s="1247"/>
      <c r="O78" s="1247"/>
      <c r="P78" s="1247"/>
    </row>
    <row r="79" spans="3:16" ht="14.25" customHeight="1" x14ac:dyDescent="0.2">
      <c r="C79" s="172"/>
      <c r="D79" s="1044" t="s">
        <v>5052</v>
      </c>
      <c r="E79" s="1044"/>
      <c r="F79" s="1044"/>
      <c r="G79" s="1044"/>
      <c r="H79" s="369"/>
      <c r="J79" s="1247"/>
      <c r="K79" s="1247"/>
      <c r="L79" s="1247"/>
      <c r="M79" s="1247"/>
      <c r="N79" s="1247"/>
      <c r="O79" s="1247"/>
      <c r="P79" s="1247"/>
    </row>
    <row r="80" spans="3:16" ht="59.25" customHeight="1" x14ac:dyDescent="0.2">
      <c r="C80" s="5"/>
      <c r="D80" s="1044"/>
      <c r="E80" s="1044"/>
      <c r="F80" s="1044"/>
      <c r="G80" s="1044"/>
      <c r="H80" s="369"/>
      <c r="J80" s="1247"/>
      <c r="K80" s="1247"/>
      <c r="L80" s="1247"/>
      <c r="M80" s="1247"/>
      <c r="N80" s="1247"/>
      <c r="O80" s="1247"/>
      <c r="P80" s="1247"/>
    </row>
    <row r="81" spans="1:16" x14ac:dyDescent="0.2">
      <c r="C81" s="5"/>
      <c r="D81" s="369"/>
      <c r="E81" s="369"/>
      <c r="F81" s="369"/>
      <c r="G81" s="369"/>
      <c r="H81" s="369"/>
      <c r="J81" s="460"/>
      <c r="K81" s="460"/>
      <c r="L81" s="460"/>
      <c r="M81" s="460"/>
      <c r="N81" s="460"/>
      <c r="O81" s="460"/>
      <c r="P81" s="460"/>
    </row>
    <row r="83" spans="1:16" ht="22.5" customHeight="1" x14ac:dyDescent="0.25">
      <c r="A83" s="1273" t="s">
        <v>4731</v>
      </c>
      <c r="B83" s="1274"/>
      <c r="C83" s="1274"/>
      <c r="D83" s="1274"/>
      <c r="E83" s="1274"/>
      <c r="F83" s="1274"/>
      <c r="G83" s="1275"/>
      <c r="H83" s="672"/>
      <c r="I83" s="677">
        <f>SUM(I86,I96,I105,I116,I125,I146)</f>
        <v>0</v>
      </c>
      <c r="J83" s="1262" t="s">
        <v>4304</v>
      </c>
      <c r="K83" s="1262"/>
      <c r="L83" s="1262"/>
      <c r="M83" s="1262"/>
      <c r="N83" s="1262"/>
      <c r="O83" s="1262"/>
      <c r="P83" s="1262"/>
    </row>
    <row r="84" spans="1:16" ht="18.75" customHeight="1" x14ac:dyDescent="0.25">
      <c r="A84" s="678"/>
      <c r="B84" s="679"/>
      <c r="C84" s="679"/>
      <c r="D84" s="679"/>
      <c r="E84" s="680"/>
      <c r="F84" s="681" t="s">
        <v>3949</v>
      </c>
      <c r="G84" s="707">
        <f>B86+B96+B105+B116+B146</f>
        <v>0</v>
      </c>
      <c r="J84" s="676"/>
      <c r="K84" s="676"/>
      <c r="L84" s="676"/>
      <c r="M84" s="676"/>
      <c r="N84" s="676"/>
      <c r="O84" s="676"/>
      <c r="P84" s="676"/>
    </row>
    <row r="85" spans="1:16" x14ac:dyDescent="0.2">
      <c r="I85" s="191" t="s">
        <v>4732</v>
      </c>
      <c r="J85" s="682"/>
      <c r="K85" s="682"/>
      <c r="L85" s="682"/>
      <c r="M85" s="682"/>
      <c r="N85" s="682"/>
      <c r="O85" s="682"/>
      <c r="P85" s="682"/>
    </row>
    <row r="86" spans="1:16" ht="14.25" customHeight="1" x14ac:dyDescent="0.2">
      <c r="B86" s="701">
        <f>MAX(F90,F91,F92,F93)</f>
        <v>0</v>
      </c>
      <c r="C86" s="1298" t="s">
        <v>4733</v>
      </c>
      <c r="D86" s="1299"/>
      <c r="E86" s="1299"/>
      <c r="F86" s="1299"/>
      <c r="G86" s="1300"/>
      <c r="I86" s="376"/>
      <c r="J86" s="1281"/>
      <c r="K86" s="1282"/>
      <c r="L86" s="1282"/>
      <c r="M86" s="1282"/>
      <c r="N86" s="1282"/>
      <c r="O86" s="1282"/>
      <c r="P86" s="1283"/>
    </row>
    <row r="87" spans="1:16" ht="15" x14ac:dyDescent="0.25">
      <c r="B87" s="198"/>
      <c r="C87" s="872" t="s">
        <v>4734</v>
      </c>
      <c r="D87" s="873"/>
      <c r="E87" s="873"/>
      <c r="F87" s="873"/>
      <c r="G87" s="874"/>
      <c r="J87" s="1284"/>
      <c r="K87" s="1285"/>
      <c r="L87" s="1285"/>
      <c r="M87" s="1285"/>
      <c r="N87" s="1285"/>
      <c r="O87" s="1285"/>
      <c r="P87" s="1286"/>
    </row>
    <row r="88" spans="1:16" ht="30.75" customHeight="1" x14ac:dyDescent="0.2">
      <c r="B88" s="198"/>
      <c r="C88" s="1301" t="s">
        <v>5101</v>
      </c>
      <c r="D88" s="1302"/>
      <c r="E88" s="1302"/>
      <c r="F88" s="1302"/>
      <c r="G88" s="1303"/>
      <c r="J88" s="1284"/>
      <c r="K88" s="1285"/>
      <c r="L88" s="1285"/>
      <c r="M88" s="1285"/>
      <c r="N88" s="1285"/>
      <c r="O88" s="1285"/>
      <c r="P88" s="1286"/>
    </row>
    <row r="89" spans="1:16" x14ac:dyDescent="0.2">
      <c r="F89" s="380"/>
      <c r="J89" s="1284"/>
      <c r="K89" s="1285"/>
      <c r="L89" s="1285"/>
      <c r="M89" s="1285"/>
      <c r="N89" s="1285"/>
      <c r="O89" s="1285"/>
      <c r="P89" s="1286"/>
    </row>
    <row r="90" spans="1:16" x14ac:dyDescent="0.2">
      <c r="C90" s="687" t="s">
        <v>2958</v>
      </c>
      <c r="D90" s="706" t="str">
        <f>'Project Details'!C15</f>
        <v/>
      </c>
      <c r="E90" s="178" t="s">
        <v>4202</v>
      </c>
      <c r="F90" s="706">
        <f>IF(D90="Very High",5,IF(D90="High",4,IF(D90="Moderate",3,0)))</f>
        <v>0</v>
      </c>
      <c r="J90" s="1284"/>
      <c r="K90" s="1285"/>
      <c r="L90" s="1285"/>
      <c r="M90" s="1285"/>
      <c r="N90" s="1285"/>
      <c r="O90" s="1285"/>
      <c r="P90" s="1286"/>
    </row>
    <row r="91" spans="1:16" x14ac:dyDescent="0.2">
      <c r="C91" s="687" t="s">
        <v>4735</v>
      </c>
      <c r="D91" s="706" t="str">
        <f>'Project Details'!C17</f>
        <v/>
      </c>
      <c r="E91" s="178" t="s">
        <v>4202</v>
      </c>
      <c r="F91" s="706">
        <f>IF(D91="Strongest Growth",5,IF(D91="Strong Growth",4,IF(D91="Slight Growth",3,0)))</f>
        <v>0</v>
      </c>
      <c r="J91" s="1284"/>
      <c r="K91" s="1285"/>
      <c r="L91" s="1285"/>
      <c r="M91" s="1285"/>
      <c r="N91" s="1285"/>
      <c r="O91" s="1285"/>
      <c r="P91" s="1286"/>
    </row>
    <row r="92" spans="1:16" x14ac:dyDescent="0.2">
      <c r="C92" s="191" t="s">
        <v>3927</v>
      </c>
      <c r="D92" s="706" t="str">
        <f>'Project Details'!G14</f>
        <v/>
      </c>
      <c r="E92" s="178" t="s">
        <v>4202</v>
      </c>
      <c r="F92" s="706">
        <f>IF(D92="Yes",3,0)</f>
        <v>0</v>
      </c>
      <c r="J92" s="1284"/>
      <c r="K92" s="1285"/>
      <c r="L92" s="1285"/>
      <c r="M92" s="1285"/>
      <c r="N92" s="1285"/>
      <c r="O92" s="1285"/>
      <c r="P92" s="1286"/>
    </row>
    <row r="93" spans="1:16" x14ac:dyDescent="0.2">
      <c r="C93" s="191" t="s">
        <v>3901</v>
      </c>
      <c r="D93" s="706">
        <f>'Project Details'!G16</f>
        <v>0</v>
      </c>
      <c r="E93" s="178" t="s">
        <v>4202</v>
      </c>
      <c r="F93" s="706">
        <f>IF(D93="Yes",3,0)</f>
        <v>0</v>
      </c>
      <c r="J93" s="1284"/>
      <c r="K93" s="1285"/>
      <c r="L93" s="1285"/>
      <c r="M93" s="1285"/>
      <c r="N93" s="1285"/>
      <c r="O93" s="1285"/>
      <c r="P93" s="1286"/>
    </row>
    <row r="94" spans="1:16" x14ac:dyDescent="0.2">
      <c r="J94" s="1287"/>
      <c r="K94" s="1288"/>
      <c r="L94" s="1288"/>
      <c r="M94" s="1288"/>
      <c r="N94" s="1288"/>
      <c r="O94" s="1288"/>
      <c r="P94" s="1289"/>
    </row>
    <row r="95" spans="1:16" x14ac:dyDescent="0.2">
      <c r="I95" s="191" t="s">
        <v>4736</v>
      </c>
      <c r="J95" s="5"/>
      <c r="K95" s="5"/>
      <c r="L95" s="5"/>
      <c r="M95" s="5"/>
      <c r="N95" s="5"/>
      <c r="O95" s="5"/>
      <c r="P95" s="5"/>
    </row>
    <row r="96" spans="1:16" ht="14.25" customHeight="1" x14ac:dyDescent="0.2">
      <c r="B96" s="701">
        <f>MAX(D102,D103)</f>
        <v>0</v>
      </c>
      <c r="C96" s="1304" t="s">
        <v>4737</v>
      </c>
      <c r="D96" s="1305"/>
      <c r="E96" s="1305"/>
      <c r="F96" s="1305"/>
      <c r="G96" s="1306"/>
      <c r="I96" s="376"/>
      <c r="J96" s="1247"/>
      <c r="K96" s="1247"/>
      <c r="L96" s="1247"/>
      <c r="M96" s="1247"/>
      <c r="N96" s="1247"/>
      <c r="O96" s="1247"/>
      <c r="P96" s="1247"/>
    </row>
    <row r="97" spans="2:16" ht="30" customHeight="1" x14ac:dyDescent="0.2">
      <c r="B97"/>
      <c r="C97" s="1307" t="s">
        <v>5111</v>
      </c>
      <c r="D97" s="1308"/>
      <c r="E97" s="1308"/>
      <c r="F97" s="1308"/>
      <c r="G97" s="1309"/>
      <c r="J97" s="1247"/>
      <c r="K97" s="1247"/>
      <c r="L97" s="1247"/>
      <c r="M97" s="1247"/>
      <c r="N97" s="1247"/>
      <c r="O97" s="1247"/>
      <c r="P97" s="1247"/>
    </row>
    <row r="98" spans="2:16" ht="18" customHeight="1" x14ac:dyDescent="0.25">
      <c r="B98" s="198"/>
      <c r="C98" s="1310" t="s">
        <v>5100</v>
      </c>
      <c r="D98" s="1311"/>
      <c r="E98" s="1311"/>
      <c r="F98" s="1311"/>
      <c r="G98" s="1312"/>
      <c r="J98" s="1247"/>
      <c r="K98" s="1247"/>
      <c r="L98" s="1247"/>
      <c r="M98" s="1247"/>
      <c r="N98" s="1247"/>
      <c r="O98" s="1247"/>
      <c r="P98" s="1247"/>
    </row>
    <row r="99" spans="2:16" x14ac:dyDescent="0.2">
      <c r="J99" s="1247"/>
      <c r="K99" s="1247"/>
      <c r="L99" s="1247"/>
      <c r="M99" s="1247"/>
      <c r="N99" s="1247"/>
      <c r="O99" s="1247"/>
      <c r="P99" s="1247"/>
    </row>
    <row r="100" spans="2:16" ht="42.75" x14ac:dyDescent="0.2">
      <c r="C100" s="683" t="s">
        <v>4738</v>
      </c>
      <c r="D100" s="708">
        <f>'Budget &amp; Costs'!I58</f>
        <v>0</v>
      </c>
      <c r="E100" s="21" t="s">
        <v>4352</v>
      </c>
      <c r="F100" s="709">
        <f>'Budget &amp; Costs'!I59</f>
        <v>0</v>
      </c>
      <c r="J100" s="1247"/>
      <c r="K100" s="1247"/>
      <c r="L100" s="1247"/>
      <c r="M100" s="1247"/>
      <c r="N100" s="1247"/>
      <c r="O100" s="1247"/>
      <c r="P100" s="1247"/>
    </row>
    <row r="101" spans="2:16" x14ac:dyDescent="0.2">
      <c r="C101" s="21"/>
      <c r="D101"/>
      <c r="J101" s="1247"/>
      <c r="K101" s="1247"/>
      <c r="L101" s="1247"/>
      <c r="M101" s="1247"/>
      <c r="N101" s="1247"/>
      <c r="O101" s="1247"/>
      <c r="P101" s="1247"/>
    </row>
    <row r="102" spans="2:16" x14ac:dyDescent="0.2">
      <c r="C102" s="21" t="s">
        <v>4739</v>
      </c>
      <c r="D102" s="684">
        <f>--(IF(D8="New Affordability: PJ",IF(F100&gt;=20%,5,IF(F100&gt;=15%,4,IF(F100&gt;=10%,3,0)))))</f>
        <v>0</v>
      </c>
      <c r="J102" s="1247"/>
      <c r="K102" s="1247"/>
      <c r="L102" s="1247"/>
      <c r="M102" s="1247"/>
      <c r="N102" s="1247"/>
      <c r="O102" s="1247"/>
      <c r="P102" s="1247"/>
    </row>
    <row r="103" spans="2:16" x14ac:dyDescent="0.2">
      <c r="C103" s="21" t="s">
        <v>4740</v>
      </c>
      <c r="D103" s="684">
        <f>--(IF(D8="New Affordability: Non-PJ",IF(F100&gt;=15%,5,IF(F100&gt;=10%,4,IF(F100&gt;=5%,3,0)))))</f>
        <v>0</v>
      </c>
      <c r="J103" s="1247"/>
      <c r="K103" s="1247"/>
      <c r="L103" s="1247"/>
      <c r="M103" s="1247"/>
      <c r="N103" s="1247"/>
      <c r="O103" s="1247"/>
      <c r="P103" s="1247"/>
    </row>
    <row r="104" spans="2:16" x14ac:dyDescent="0.2">
      <c r="I104" s="191" t="s">
        <v>4741</v>
      </c>
      <c r="J104" s="5"/>
      <c r="K104" s="5"/>
      <c r="L104" s="5"/>
      <c r="M104" s="5"/>
      <c r="N104" s="5"/>
      <c r="O104" s="5"/>
      <c r="P104" s="5"/>
    </row>
    <row r="105" spans="2:16" ht="14.25" customHeight="1" x14ac:dyDescent="0.2">
      <c r="B105" s="701">
        <f>--(IF(D8="New Affordability: PJ",IF(D113="TCI Index= 8 or higher",5,IF(D113="TCI Index= 4-7",4,IF(D113="TCI Index= 1-3",3,IF(D113="Development-Provided Transportation",4,IF(D113="none of the above",0,0)))))))</f>
        <v>0</v>
      </c>
      <c r="C105" s="1298" t="s">
        <v>4789</v>
      </c>
      <c r="D105" s="1299"/>
      <c r="E105" s="1299"/>
      <c r="F105" s="1299"/>
      <c r="G105" s="1300"/>
      <c r="I105" s="376"/>
      <c r="J105" s="1247"/>
      <c r="K105" s="1247"/>
      <c r="L105" s="1247"/>
      <c r="M105" s="1247"/>
      <c r="N105" s="1247"/>
      <c r="O105" s="1247"/>
      <c r="P105" s="1247"/>
    </row>
    <row r="106" spans="2:16" ht="31.5" customHeight="1" x14ac:dyDescent="0.2">
      <c r="B106" s="198"/>
      <c r="C106" s="1313" t="s">
        <v>4790</v>
      </c>
      <c r="D106" s="1314"/>
      <c r="E106" s="1314"/>
      <c r="F106" s="1314"/>
      <c r="G106" s="1315"/>
      <c r="J106" s="1247"/>
      <c r="K106" s="1247"/>
      <c r="L106" s="1247"/>
      <c r="M106" s="1247"/>
      <c r="N106" s="1247"/>
      <c r="O106" s="1247"/>
      <c r="P106" s="1247"/>
    </row>
    <row r="107" spans="2:16" ht="44.25" customHeight="1" x14ac:dyDescent="0.25">
      <c r="C107" s="1316" t="s">
        <v>4742</v>
      </c>
      <c r="D107" s="1317"/>
      <c r="E107" s="1317"/>
      <c r="F107" s="1317"/>
      <c r="G107" s="1318"/>
      <c r="J107" s="1247"/>
      <c r="K107" s="1247"/>
      <c r="L107" s="1247"/>
      <c r="M107" s="1247"/>
      <c r="N107" s="1247"/>
      <c r="O107" s="1247"/>
      <c r="P107" s="1247"/>
    </row>
    <row r="108" spans="2:16" ht="8.25" customHeight="1" x14ac:dyDescent="0.25">
      <c r="C108" s="869"/>
      <c r="D108" s="870"/>
      <c r="E108" s="870"/>
      <c r="F108" s="870"/>
      <c r="G108" s="871"/>
      <c r="J108" s="1247"/>
      <c r="K108" s="1247"/>
      <c r="L108" s="1247"/>
      <c r="M108" s="1247"/>
      <c r="N108" s="1247"/>
      <c r="O108" s="1247"/>
      <c r="P108" s="1247"/>
    </row>
    <row r="109" spans="2:16" ht="45.75" customHeight="1" x14ac:dyDescent="0.2">
      <c r="C109" s="1313" t="s">
        <v>4791</v>
      </c>
      <c r="D109" s="1314"/>
      <c r="E109" s="1314"/>
      <c r="F109" s="1314"/>
      <c r="G109" s="1315"/>
      <c r="J109" s="1247"/>
      <c r="K109" s="1247"/>
      <c r="L109" s="1247"/>
      <c r="M109" s="1247"/>
      <c r="N109" s="1247"/>
      <c r="O109" s="1247"/>
      <c r="P109" s="1247"/>
    </row>
    <row r="110" spans="2:16" ht="31.5" customHeight="1" x14ac:dyDescent="0.2">
      <c r="C110" s="1301" t="s">
        <v>4743</v>
      </c>
      <c r="D110" s="1319"/>
      <c r="E110" s="1319"/>
      <c r="F110" s="1319"/>
      <c r="G110" s="1320"/>
      <c r="J110" s="1247"/>
      <c r="K110" s="1247"/>
      <c r="L110" s="1247"/>
      <c r="M110" s="1247"/>
      <c r="N110" s="1247"/>
      <c r="O110" s="1247"/>
      <c r="P110" s="1247"/>
    </row>
    <row r="111" spans="2:16" ht="15" x14ac:dyDescent="0.2">
      <c r="C111" s="685"/>
      <c r="D111" s="686"/>
      <c r="E111" s="686"/>
      <c r="F111" s="686"/>
      <c r="G111" s="686"/>
      <c r="J111" s="1247"/>
      <c r="K111" s="1247"/>
      <c r="L111" s="1247"/>
      <c r="M111" s="1247"/>
      <c r="N111" s="1247"/>
      <c r="O111" s="1247"/>
      <c r="P111" s="1247"/>
    </row>
    <row r="112" spans="2:16" ht="15" x14ac:dyDescent="0.2">
      <c r="C112" s="687" t="s">
        <v>4744</v>
      </c>
      <c r="D112" s="686"/>
      <c r="E112" s="686"/>
      <c r="F112" s="686"/>
      <c r="G112" s="686"/>
      <c r="J112" s="1247"/>
      <c r="K112" s="1247"/>
      <c r="L112" s="1247"/>
      <c r="M112" s="1247"/>
      <c r="N112" s="1247"/>
      <c r="O112" s="1247"/>
      <c r="P112" s="1247"/>
    </row>
    <row r="113" spans="2:16" x14ac:dyDescent="0.2">
      <c r="C113" s="191" t="s">
        <v>4746</v>
      </c>
      <c r="D113" s="1188"/>
      <c r="E113" s="1190"/>
      <c r="J113" s="1247"/>
      <c r="K113" s="1247"/>
      <c r="L113" s="1247"/>
      <c r="M113" s="1247"/>
      <c r="N113" s="1247"/>
      <c r="O113" s="1247"/>
      <c r="P113" s="1247"/>
    </row>
    <row r="114" spans="2:16" x14ac:dyDescent="0.2">
      <c r="D114" s="5"/>
      <c r="E114" s="5"/>
      <c r="J114" s="1247"/>
      <c r="K114" s="1247"/>
      <c r="L114" s="1247"/>
      <c r="M114" s="1247"/>
      <c r="N114" s="1247"/>
      <c r="O114" s="1247"/>
      <c r="P114" s="1247"/>
    </row>
    <row r="115" spans="2:16" x14ac:dyDescent="0.2">
      <c r="D115" s="5"/>
      <c r="E115" s="5"/>
      <c r="I115" s="191" t="s">
        <v>4747</v>
      </c>
      <c r="J115" s="689"/>
      <c r="K115" s="689"/>
      <c r="L115" s="689"/>
      <c r="M115" s="689"/>
      <c r="N115" s="689"/>
      <c r="O115" s="689"/>
      <c r="P115" s="689"/>
    </row>
    <row r="116" spans="2:16" ht="14.25" customHeight="1" x14ac:dyDescent="0.2">
      <c r="B116" s="701">
        <f>IF(D8="New Affordability: Non-PJ",D122,0)</f>
        <v>0</v>
      </c>
      <c r="C116" s="1298" t="s">
        <v>4792</v>
      </c>
      <c r="D116" s="1299"/>
      <c r="E116" s="1299"/>
      <c r="F116" s="1299"/>
      <c r="G116" s="1300"/>
      <c r="I116" s="376"/>
      <c r="J116" s="1247"/>
      <c r="K116" s="1247"/>
      <c r="L116" s="1247"/>
      <c r="M116" s="1247"/>
      <c r="N116" s="1247"/>
      <c r="O116" s="1247"/>
      <c r="P116" s="1247"/>
    </row>
    <row r="117" spans="2:16" ht="31.5" customHeight="1" x14ac:dyDescent="0.2">
      <c r="B117" s="198"/>
      <c r="C117" s="1313" t="s">
        <v>4748</v>
      </c>
      <c r="D117" s="1314"/>
      <c r="E117" s="1314"/>
      <c r="F117" s="1314"/>
      <c r="G117" s="1315"/>
      <c r="I117"/>
      <c r="J117" s="1247"/>
      <c r="K117" s="1247"/>
      <c r="L117" s="1247"/>
      <c r="M117" s="1247"/>
      <c r="N117" s="1247"/>
      <c r="O117" s="1247"/>
      <c r="P117" s="1247"/>
    </row>
    <row r="118" spans="2:16" ht="29.25" customHeight="1" x14ac:dyDescent="0.25">
      <c r="C118" s="1310" t="s">
        <v>4749</v>
      </c>
      <c r="D118" s="1321"/>
      <c r="E118" s="1321"/>
      <c r="F118" s="1321"/>
      <c r="G118" s="1322"/>
      <c r="J118" s="1247"/>
      <c r="K118" s="1247"/>
      <c r="L118" s="1247"/>
      <c r="M118" s="1247"/>
      <c r="N118" s="1247"/>
      <c r="O118" s="1247"/>
      <c r="P118" s="1247"/>
    </row>
    <row r="119" spans="2:16" x14ac:dyDescent="0.2">
      <c r="I119"/>
      <c r="J119" s="1247"/>
      <c r="K119" s="1247"/>
      <c r="L119" s="1247"/>
      <c r="M119" s="1247"/>
      <c r="N119" s="1247"/>
      <c r="O119" s="1247"/>
      <c r="P119" s="1247"/>
    </row>
    <row r="120" spans="2:16" x14ac:dyDescent="0.2">
      <c r="C120" s="687" t="s">
        <v>4750</v>
      </c>
      <c r="J120" s="1247"/>
      <c r="K120" s="1247"/>
      <c r="L120" s="1247"/>
      <c r="M120" s="1247"/>
      <c r="N120" s="1247"/>
      <c r="O120" s="1247"/>
      <c r="P120" s="1247"/>
    </row>
    <row r="121" spans="2:16" x14ac:dyDescent="0.2">
      <c r="C121" t="s">
        <v>4438</v>
      </c>
      <c r="D121" s="868" t="e">
        <f>VLOOKUP('Project Details'!C12,Data!$L$5:$M$92,2,FALSE)</f>
        <v>#N/A</v>
      </c>
      <c r="E121" s="688" t="s">
        <v>4745</v>
      </c>
      <c r="J121" s="1247"/>
      <c r="K121" s="1247"/>
      <c r="L121" s="1247"/>
      <c r="M121" s="1247"/>
      <c r="N121" s="1247"/>
      <c r="O121" s="1247"/>
      <c r="P121" s="1247"/>
    </row>
    <row r="122" spans="2:16" x14ac:dyDescent="0.2">
      <c r="C122" s="191" t="s">
        <v>4656</v>
      </c>
      <c r="D122" s="684" t="e">
        <f>IF(D121&gt;=27.1%,5,IF(D121&gt;=23.1%,4,IF(D121&gt;=21.1%,3,IF(D121&gt;=17%,2,0))))</f>
        <v>#N/A</v>
      </c>
      <c r="E122"/>
      <c r="J122" s="1247"/>
      <c r="K122" s="1247"/>
      <c r="L122" s="1247"/>
      <c r="M122" s="1247"/>
      <c r="N122" s="1247"/>
      <c r="O122" s="1247"/>
      <c r="P122" s="1247"/>
    </row>
    <row r="123" spans="2:16" x14ac:dyDescent="0.2">
      <c r="D123" s="5"/>
      <c r="E123" s="5"/>
      <c r="J123" s="1247"/>
      <c r="K123" s="1247"/>
      <c r="L123" s="1247"/>
      <c r="M123" s="1247"/>
      <c r="N123" s="1247"/>
      <c r="O123" s="1247"/>
      <c r="P123" s="1247"/>
    </row>
    <row r="124" spans="2:16" x14ac:dyDescent="0.2">
      <c r="D124" s="5"/>
      <c r="E124" s="5"/>
      <c r="I124" s="191" t="s">
        <v>4305</v>
      </c>
      <c r="J124" s="5"/>
      <c r="K124" s="5"/>
      <c r="L124" s="5"/>
      <c r="M124" s="5"/>
      <c r="N124" s="5"/>
      <c r="O124" s="5"/>
      <c r="P124" s="5"/>
    </row>
    <row r="125" spans="2:16" ht="14.25" customHeight="1" x14ac:dyDescent="0.2">
      <c r="B125" s="701" t="s">
        <v>5097</v>
      </c>
      <c r="C125" s="690" t="s">
        <v>5061</v>
      </c>
      <c r="D125" s="691"/>
      <c r="E125" s="691"/>
      <c r="F125" s="691"/>
      <c r="G125" s="692"/>
      <c r="I125" s="376"/>
      <c r="J125" s="1247"/>
      <c r="K125" s="1247"/>
      <c r="L125" s="1247"/>
      <c r="M125" s="1247"/>
      <c r="N125" s="1247"/>
      <c r="O125" s="1247"/>
      <c r="P125" s="1247"/>
    </row>
    <row r="126" spans="2:16" ht="63.75" customHeight="1" x14ac:dyDescent="0.2">
      <c r="B126" s="198"/>
      <c r="C126" s="1313" t="s">
        <v>5133</v>
      </c>
      <c r="D126" s="1314"/>
      <c r="E126" s="1314"/>
      <c r="F126" s="1314"/>
      <c r="G126" s="1315"/>
      <c r="J126" s="1247"/>
      <c r="K126" s="1247"/>
      <c r="L126" s="1247"/>
      <c r="M126" s="1247"/>
      <c r="N126" s="1247"/>
      <c r="O126" s="1247"/>
      <c r="P126" s="1247"/>
    </row>
    <row r="127" spans="2:16" ht="55.5" customHeight="1" x14ac:dyDescent="0.25">
      <c r="C127" s="1310" t="s">
        <v>5098</v>
      </c>
      <c r="D127" s="1321"/>
      <c r="E127" s="1321"/>
      <c r="F127" s="1321"/>
      <c r="G127" s="1322"/>
      <c r="J127" s="1247"/>
      <c r="K127" s="1247"/>
      <c r="L127" s="1247"/>
      <c r="M127" s="1247"/>
      <c r="N127" s="1247"/>
      <c r="O127" s="1247"/>
      <c r="P127" s="1247"/>
    </row>
    <row r="128" spans="2:16" x14ac:dyDescent="0.2">
      <c r="J128" s="1247"/>
      <c r="K128" s="1247"/>
      <c r="L128" s="1247"/>
      <c r="M128" s="1247"/>
      <c r="N128" s="1247"/>
      <c r="O128" s="1247"/>
      <c r="P128" s="1247"/>
    </row>
    <row r="129" spans="3:16" x14ac:dyDescent="0.2">
      <c r="C129" s="191" t="s">
        <v>4142</v>
      </c>
      <c r="D129" s="859">
        <f>'Budget &amp; Costs'!S408</f>
        <v>0</v>
      </c>
      <c r="J129" s="1247"/>
      <c r="K129" s="1247"/>
      <c r="L129" s="1247"/>
      <c r="M129" s="1247"/>
      <c r="N129" s="1247"/>
      <c r="O129" s="1247"/>
      <c r="P129" s="1247"/>
    </row>
    <row r="130" spans="3:16" x14ac:dyDescent="0.2">
      <c r="C130" s="191" t="s">
        <v>4751</v>
      </c>
      <c r="D130" s="859">
        <f>SUM(D135:D143)</f>
        <v>0</v>
      </c>
      <c r="E130" s="377" t="s">
        <v>4793</v>
      </c>
      <c r="J130" s="1247"/>
      <c r="K130" s="1247"/>
      <c r="L130" s="1247"/>
      <c r="M130" s="1247"/>
      <c r="N130" s="1247"/>
      <c r="O130" s="1247"/>
      <c r="P130" s="1247"/>
    </row>
    <row r="131" spans="3:16" x14ac:dyDescent="0.2">
      <c r="C131" s="191" t="s">
        <v>4752</v>
      </c>
      <c r="D131" s="710" t="e">
        <f>D130/D129</f>
        <v>#DIV/0!</v>
      </c>
      <c r="J131" s="1247"/>
      <c r="K131" s="1247"/>
      <c r="L131" s="1247"/>
      <c r="M131" s="1247"/>
      <c r="N131" s="1247"/>
      <c r="O131" s="1247"/>
      <c r="P131" s="1247"/>
    </row>
    <row r="132" spans="3:16" x14ac:dyDescent="0.2">
      <c r="D132"/>
      <c r="J132" s="1247"/>
      <c r="K132" s="1247"/>
      <c r="L132" s="1247"/>
      <c r="M132" s="1247"/>
      <c r="N132" s="1247"/>
      <c r="O132" s="1247"/>
      <c r="P132" s="1247"/>
    </row>
    <row r="133" spans="3:16" x14ac:dyDescent="0.2">
      <c r="C133" t="s">
        <v>5062</v>
      </c>
      <c r="D133" s="5"/>
      <c r="J133" s="1247"/>
      <c r="K133" s="1247"/>
      <c r="L133" s="1247"/>
      <c r="M133" s="1247"/>
      <c r="N133" s="1247"/>
      <c r="O133" s="1247"/>
      <c r="P133" s="1247"/>
    </row>
    <row r="134" spans="3:16" x14ac:dyDescent="0.2">
      <c r="C134" s="377" t="s">
        <v>3239</v>
      </c>
      <c r="D134" s="662" t="s">
        <v>3333</v>
      </c>
      <c r="E134" s="377" t="s">
        <v>5063</v>
      </c>
      <c r="F134" s="5"/>
      <c r="G134" s="5"/>
      <c r="I134"/>
      <c r="J134" s="1247"/>
      <c r="K134" s="1247"/>
      <c r="L134" s="1247"/>
      <c r="M134" s="1247"/>
      <c r="N134" s="1247"/>
      <c r="O134" s="1247"/>
      <c r="P134" s="1247"/>
    </row>
    <row r="135" spans="3:16" x14ac:dyDescent="0.2">
      <c r="C135" s="703"/>
      <c r="D135" s="704"/>
      <c r="E135" s="1323"/>
      <c r="F135" s="1324"/>
      <c r="G135" s="5"/>
      <c r="J135" s="1247"/>
      <c r="K135" s="1247"/>
      <c r="L135" s="1247"/>
      <c r="M135" s="1247"/>
      <c r="N135" s="1247"/>
      <c r="O135" s="1247"/>
      <c r="P135" s="1247"/>
    </row>
    <row r="136" spans="3:16" x14ac:dyDescent="0.2">
      <c r="C136" s="703"/>
      <c r="D136" s="704"/>
      <c r="E136" s="1323"/>
      <c r="F136" s="1324"/>
      <c r="G136" s="5"/>
      <c r="J136" s="1247"/>
      <c r="K136" s="1247"/>
      <c r="L136" s="1247"/>
      <c r="M136" s="1247"/>
      <c r="N136" s="1247"/>
      <c r="O136" s="1247"/>
      <c r="P136" s="1247"/>
    </row>
    <row r="137" spans="3:16" x14ac:dyDescent="0.2">
      <c r="C137" s="703"/>
      <c r="D137" s="704"/>
      <c r="E137" s="1323"/>
      <c r="F137" s="1324"/>
      <c r="G137" s="5"/>
      <c r="J137" s="1247"/>
      <c r="K137" s="1247"/>
      <c r="L137" s="1247"/>
      <c r="M137" s="1247"/>
      <c r="N137" s="1247"/>
      <c r="O137" s="1247"/>
      <c r="P137" s="1247"/>
    </row>
    <row r="138" spans="3:16" x14ac:dyDescent="0.2">
      <c r="C138" s="703"/>
      <c r="D138" s="704"/>
      <c r="E138" s="1323"/>
      <c r="F138" s="1324"/>
      <c r="G138" s="5"/>
      <c r="J138" s="1247"/>
      <c r="K138" s="1247"/>
      <c r="L138" s="1247"/>
      <c r="M138" s="1247"/>
      <c r="N138" s="1247"/>
      <c r="O138" s="1247"/>
      <c r="P138" s="1247"/>
    </row>
    <row r="139" spans="3:16" x14ac:dyDescent="0.2">
      <c r="C139" s="703"/>
      <c r="D139" s="704"/>
      <c r="E139" s="1323"/>
      <c r="F139" s="1324"/>
      <c r="G139" s="5"/>
      <c r="J139" s="1247"/>
      <c r="K139" s="1247"/>
      <c r="L139" s="1247"/>
      <c r="M139" s="1247"/>
      <c r="N139" s="1247"/>
      <c r="O139" s="1247"/>
      <c r="P139" s="1247"/>
    </row>
    <row r="140" spans="3:16" x14ac:dyDescent="0.2">
      <c r="C140" s="703"/>
      <c r="D140" s="704"/>
      <c r="E140" s="1323"/>
      <c r="F140" s="1324"/>
      <c r="G140" s="5"/>
      <c r="J140" s="1247"/>
      <c r="K140" s="1247"/>
      <c r="L140" s="1247"/>
      <c r="M140" s="1247"/>
      <c r="N140" s="1247"/>
      <c r="O140" s="1247"/>
      <c r="P140" s="1247"/>
    </row>
    <row r="141" spans="3:16" x14ac:dyDescent="0.2">
      <c r="C141" s="703"/>
      <c r="D141" s="704"/>
      <c r="E141" s="1323"/>
      <c r="F141" s="1324"/>
      <c r="G141" s="5"/>
      <c r="J141" s="1247"/>
      <c r="K141" s="1247"/>
      <c r="L141" s="1247"/>
      <c r="M141" s="1247"/>
      <c r="N141" s="1247"/>
      <c r="O141" s="1247"/>
      <c r="P141" s="1247"/>
    </row>
    <row r="142" spans="3:16" x14ac:dyDescent="0.2">
      <c r="C142" s="703"/>
      <c r="D142" s="704"/>
      <c r="E142" s="1323"/>
      <c r="F142" s="1324"/>
      <c r="G142" s="5"/>
      <c r="J142" s="1247"/>
      <c r="K142" s="1247"/>
      <c r="L142" s="1247"/>
      <c r="M142" s="1247"/>
      <c r="N142" s="1247"/>
      <c r="O142" s="1247"/>
      <c r="P142" s="1247"/>
    </row>
    <row r="143" spans="3:16" x14ac:dyDescent="0.2">
      <c r="C143" s="703"/>
      <c r="D143" s="704"/>
      <c r="E143" s="1323"/>
      <c r="F143" s="1324"/>
      <c r="G143" s="5"/>
      <c r="J143" s="1247"/>
      <c r="K143" s="1247"/>
      <c r="L143" s="1247"/>
      <c r="M143" s="1247"/>
      <c r="N143" s="1247"/>
      <c r="O143" s="1247"/>
      <c r="P143" s="1247"/>
    </row>
    <row r="144" spans="3:16" x14ac:dyDescent="0.2">
      <c r="D144" s="695"/>
      <c r="G144" s="695"/>
      <c r="J144" s="1247"/>
      <c r="K144" s="1247"/>
      <c r="L144" s="1247"/>
      <c r="M144" s="1247"/>
      <c r="N144" s="1247"/>
      <c r="O144" s="1247"/>
      <c r="P144" s="1247"/>
    </row>
    <row r="145" spans="1:17" x14ac:dyDescent="0.2">
      <c r="I145" s="191" t="s">
        <v>4753</v>
      </c>
      <c r="J145" s="5"/>
      <c r="K145" s="5"/>
      <c r="L145" s="5"/>
      <c r="M145" s="5"/>
      <c r="N145" s="5"/>
      <c r="O145" s="5"/>
      <c r="P145" s="5"/>
    </row>
    <row r="146" spans="1:17" ht="14.25" customHeight="1" x14ac:dyDescent="0.2">
      <c r="B146" s="701">
        <f>IFERROR(IF(D156&gt;=5,5,D156),0)</f>
        <v>0</v>
      </c>
      <c r="C146" s="1298" t="s">
        <v>4754</v>
      </c>
      <c r="D146" s="1299"/>
      <c r="E146" s="1299"/>
      <c r="F146" s="1299"/>
      <c r="G146" s="875"/>
      <c r="I146" s="376"/>
      <c r="J146" s="1247"/>
      <c r="K146" s="1247"/>
      <c r="L146" s="1247"/>
      <c r="M146" s="1247"/>
      <c r="N146" s="1247"/>
      <c r="O146" s="1247"/>
      <c r="P146" s="1247"/>
    </row>
    <row r="147" spans="1:17" ht="30.75" customHeight="1" x14ac:dyDescent="0.2">
      <c r="B147"/>
      <c r="C147" s="1313" t="s">
        <v>4755</v>
      </c>
      <c r="D147" s="1314"/>
      <c r="E147" s="1314"/>
      <c r="F147" s="1314"/>
      <c r="G147" s="1315"/>
      <c r="J147" s="1247"/>
      <c r="K147" s="1247"/>
      <c r="L147" s="1247"/>
      <c r="M147" s="1247"/>
      <c r="N147" s="1247"/>
      <c r="O147" s="1247"/>
      <c r="P147" s="1247"/>
    </row>
    <row r="148" spans="1:17" ht="15" x14ac:dyDescent="0.25">
      <c r="C148" s="1325" t="s">
        <v>4756</v>
      </c>
      <c r="D148" s="1321"/>
      <c r="E148" s="1321"/>
      <c r="F148" s="1321"/>
      <c r="G148" s="1322"/>
      <c r="J148" s="1247"/>
      <c r="K148" s="1247"/>
      <c r="L148" s="1247"/>
      <c r="M148" s="1247"/>
      <c r="N148" s="1247"/>
      <c r="O148" s="1247"/>
      <c r="P148" s="1247"/>
    </row>
    <row r="149" spans="1:17" x14ac:dyDescent="0.2">
      <c r="J149" s="1247"/>
      <c r="K149" s="1247"/>
      <c r="L149" s="1247"/>
      <c r="M149" s="1247"/>
      <c r="N149" s="1247"/>
      <c r="O149" s="1247"/>
      <c r="P149" s="1247"/>
    </row>
    <row r="150" spans="1:17" x14ac:dyDescent="0.2">
      <c r="C150" s="191" t="s">
        <v>4757</v>
      </c>
      <c r="D150" s="702">
        <f>D12</f>
        <v>0</v>
      </c>
      <c r="J150" s="1247"/>
      <c r="K150" s="1247"/>
      <c r="L150" s="1247"/>
      <c r="M150" s="1247"/>
      <c r="N150" s="1247"/>
      <c r="O150" s="1247"/>
      <c r="P150" s="1247"/>
    </row>
    <row r="151" spans="1:17" x14ac:dyDescent="0.2">
      <c r="C151" s="191" t="s">
        <v>4758</v>
      </c>
      <c r="D151" s="684">
        <f>G9</f>
        <v>0</v>
      </c>
      <c r="J151" s="1247"/>
      <c r="K151" s="1247"/>
      <c r="L151" s="1247"/>
      <c r="M151" s="1247"/>
      <c r="N151" s="1247"/>
      <c r="O151" s="1247"/>
      <c r="P151" s="1247"/>
    </row>
    <row r="152" spans="1:17" x14ac:dyDescent="0.2">
      <c r="C152" s="191" t="s">
        <v>4759</v>
      </c>
      <c r="D152" s="705" t="e">
        <f>D150/D151</f>
        <v>#DIV/0!</v>
      </c>
      <c r="J152" s="1247"/>
      <c r="K152" s="1247"/>
      <c r="L152" s="1247"/>
      <c r="M152" s="1247"/>
      <c r="N152" s="1247"/>
      <c r="O152" s="1247"/>
      <c r="P152" s="1247"/>
    </row>
    <row r="153" spans="1:17" x14ac:dyDescent="0.2">
      <c r="B153" s="5"/>
      <c r="C153" s="191" t="s">
        <v>5066</v>
      </c>
      <c r="D153" s="684" t="e">
        <f>IF(D152&lt;=20000,5,IF(D152&lt;=25000,4,IF(D152&lt;=30000,3,IF(D152&lt;=35000,2,IF(D152&lt;=40000,1,0)))))</f>
        <v>#DIV/0!</v>
      </c>
      <c r="J153" s="1247"/>
      <c r="K153" s="1247"/>
      <c r="L153" s="1247"/>
      <c r="M153" s="1247"/>
      <c r="N153" s="1247"/>
      <c r="O153" s="1247"/>
      <c r="P153" s="1247"/>
    </row>
    <row r="154" spans="1:17" x14ac:dyDescent="0.2">
      <c r="B154" s="5"/>
      <c r="C154" s="348" t="s">
        <v>5107</v>
      </c>
      <c r="D154" s="190"/>
      <c r="E154" s="830" t="s">
        <v>5068</v>
      </c>
      <c r="I154" s="5"/>
      <c r="J154" s="1247"/>
      <c r="K154" s="1247"/>
      <c r="L154" s="1247"/>
      <c r="M154" s="1247"/>
      <c r="N154" s="1247"/>
      <c r="O154" s="1247"/>
      <c r="P154" s="1247"/>
      <c r="Q154" s="5"/>
    </row>
    <row r="155" spans="1:17" x14ac:dyDescent="0.2">
      <c r="B155" s="5"/>
      <c r="C155" s="791" t="s">
        <v>5102</v>
      </c>
      <c r="D155" s="190"/>
      <c r="E155" s="830" t="s">
        <v>5068</v>
      </c>
      <c r="I155" s="5"/>
      <c r="J155" s="1247"/>
      <c r="K155" s="1247"/>
      <c r="L155" s="1247"/>
      <c r="M155" s="1247"/>
      <c r="N155" s="1247"/>
      <c r="O155" s="1247"/>
      <c r="P155" s="1247"/>
      <c r="Q155" s="5"/>
    </row>
    <row r="156" spans="1:17" x14ac:dyDescent="0.2">
      <c r="B156" s="5"/>
      <c r="C156" s="348" t="s">
        <v>5067</v>
      </c>
      <c r="D156" s="684" t="e">
        <f>IF(D154="Yes",D153+2,D153)</f>
        <v>#DIV/0!</v>
      </c>
      <c r="E156"/>
      <c r="I156"/>
      <c r="J156" s="1247"/>
      <c r="K156" s="1247"/>
      <c r="L156" s="1247"/>
      <c r="M156" s="1247"/>
      <c r="N156" s="1247"/>
      <c r="O156" s="1247"/>
      <c r="P156" s="1247"/>
      <c r="Q156" s="5"/>
    </row>
    <row r="157" spans="1:17" x14ac:dyDescent="0.2">
      <c r="J157" s="5"/>
      <c r="K157" s="5"/>
      <c r="L157" s="5"/>
      <c r="M157" s="5"/>
      <c r="N157" s="5"/>
      <c r="O157" s="5"/>
      <c r="P157" s="5"/>
      <c r="Q157" s="5"/>
    </row>
    <row r="158" spans="1:17" ht="18" x14ac:dyDescent="0.25">
      <c r="A158" s="1273" t="s">
        <v>4760</v>
      </c>
      <c r="B158" s="1274"/>
      <c r="C158" s="1274"/>
      <c r="D158" s="1274"/>
      <c r="E158" s="1274"/>
      <c r="F158" s="1274"/>
      <c r="G158" s="1275"/>
      <c r="J158" s="1262" t="s">
        <v>4306</v>
      </c>
      <c r="K158" s="1262"/>
      <c r="L158" s="1262"/>
      <c r="M158" s="1262"/>
      <c r="N158" s="1262"/>
      <c r="O158" s="1262"/>
      <c r="P158" s="1262"/>
      <c r="Q158" s="5"/>
    </row>
    <row r="159" spans="1:17" x14ac:dyDescent="0.2">
      <c r="B159" s="684">
        <f>'Budget &amp; Costs'!D69</f>
        <v>0</v>
      </c>
      <c r="C159" s="5" t="s">
        <v>5069</v>
      </c>
      <c r="J159" s="1280"/>
      <c r="K159" s="1280"/>
      <c r="L159" s="1280"/>
      <c r="M159" s="1280"/>
      <c r="N159" s="1280"/>
      <c r="O159" s="1280"/>
      <c r="P159" s="1280"/>
      <c r="Q159" s="5"/>
    </row>
    <row r="160" spans="1:17" x14ac:dyDescent="0.2">
      <c r="B160" s="684">
        <f>B86</f>
        <v>0</v>
      </c>
      <c r="C160" s="5" t="s">
        <v>5070</v>
      </c>
      <c r="J160" s="1280"/>
      <c r="K160" s="1280"/>
      <c r="L160" s="1280"/>
      <c r="M160" s="1280"/>
      <c r="N160" s="1280"/>
      <c r="O160" s="1280"/>
      <c r="P160" s="1280"/>
      <c r="Q160" s="5"/>
    </row>
    <row r="161" spans="2:17" x14ac:dyDescent="0.2">
      <c r="B161" s="171"/>
      <c r="C161" s="5" t="s">
        <v>5071</v>
      </c>
      <c r="J161" s="1280"/>
      <c r="K161" s="1280"/>
      <c r="L161" s="1280"/>
      <c r="M161" s="1280"/>
      <c r="N161" s="1280"/>
      <c r="O161" s="1280"/>
      <c r="P161" s="1280"/>
      <c r="Q161" s="5"/>
    </row>
    <row r="162" spans="2:17" x14ac:dyDescent="0.2">
      <c r="J162" s="1280"/>
      <c r="K162" s="1280"/>
      <c r="L162" s="1280"/>
      <c r="M162" s="1280"/>
      <c r="N162" s="1280"/>
      <c r="O162" s="1280"/>
      <c r="P162" s="1280"/>
      <c r="Q162" s="5"/>
    </row>
    <row r="163" spans="2:17" x14ac:dyDescent="0.2">
      <c r="J163" s="1280"/>
      <c r="K163" s="1280"/>
      <c r="L163" s="1280"/>
      <c r="M163" s="1280"/>
      <c r="N163" s="1280"/>
      <c r="O163" s="1280"/>
      <c r="P163" s="1280"/>
      <c r="Q163" s="5"/>
    </row>
    <row r="164" spans="2:17" x14ac:dyDescent="0.2">
      <c r="J164" s="1280"/>
      <c r="K164" s="1280"/>
      <c r="L164" s="1280"/>
      <c r="M164" s="1280"/>
      <c r="N164" s="1280"/>
      <c r="O164" s="1280"/>
      <c r="P164" s="1280"/>
      <c r="Q164" s="5"/>
    </row>
    <row r="165" spans="2:17" x14ac:dyDescent="0.2">
      <c r="J165" s="1280"/>
      <c r="K165" s="1280"/>
      <c r="L165" s="1280"/>
      <c r="M165" s="1280"/>
      <c r="N165" s="1280"/>
      <c r="O165" s="1280"/>
      <c r="P165" s="1280"/>
    </row>
  </sheetData>
  <mergeCells count="68">
    <mergeCell ref="J159:P165"/>
    <mergeCell ref="C146:F146"/>
    <mergeCell ref="C147:G147"/>
    <mergeCell ref="C148:G148"/>
    <mergeCell ref="A158:G158"/>
    <mergeCell ref="J158:P158"/>
    <mergeCell ref="J146:P156"/>
    <mergeCell ref="C116:G116"/>
    <mergeCell ref="J116:P123"/>
    <mergeCell ref="C117:G117"/>
    <mergeCell ref="C118:G118"/>
    <mergeCell ref="J125:P144"/>
    <mergeCell ref="C126:G126"/>
    <mergeCell ref="C127:G127"/>
    <mergeCell ref="E135:F135"/>
    <mergeCell ref="E140:F140"/>
    <mergeCell ref="E141:F141"/>
    <mergeCell ref="E142:F142"/>
    <mergeCell ref="E143:F143"/>
    <mergeCell ref="E136:F136"/>
    <mergeCell ref="E137:F137"/>
    <mergeCell ref="E138:F138"/>
    <mergeCell ref="E139:F139"/>
    <mergeCell ref="C105:G105"/>
    <mergeCell ref="J105:P114"/>
    <mergeCell ref="C106:G106"/>
    <mergeCell ref="C107:G107"/>
    <mergeCell ref="C109:G109"/>
    <mergeCell ref="C110:G110"/>
    <mergeCell ref="D113:E113"/>
    <mergeCell ref="J83:P83"/>
    <mergeCell ref="C86:G86"/>
    <mergeCell ref="J86:P94"/>
    <mergeCell ref="C88:G88"/>
    <mergeCell ref="C96:G96"/>
    <mergeCell ref="J96:P103"/>
    <mergeCell ref="C97:G97"/>
    <mergeCell ref="C98:G98"/>
    <mergeCell ref="A83:G83"/>
    <mergeCell ref="J50:P58"/>
    <mergeCell ref="C53:G58"/>
    <mergeCell ref="C60:G61"/>
    <mergeCell ref="J60:P61"/>
    <mergeCell ref="B62:G62"/>
    <mergeCell ref="J62:P80"/>
    <mergeCell ref="D65:G66"/>
    <mergeCell ref="D68:G69"/>
    <mergeCell ref="D71:G72"/>
    <mergeCell ref="D74:G75"/>
    <mergeCell ref="D77:G77"/>
    <mergeCell ref="D79:G80"/>
    <mergeCell ref="D63:G63"/>
    <mergeCell ref="C50:G51"/>
    <mergeCell ref="J40:P48"/>
    <mergeCell ref="C43:G48"/>
    <mergeCell ref="C40:G41"/>
    <mergeCell ref="J15:P15"/>
    <mergeCell ref="A16:G16"/>
    <mergeCell ref="J16:P28"/>
    <mergeCell ref="B25:G25"/>
    <mergeCell ref="A39:G39"/>
    <mergeCell ref="J39:P39"/>
    <mergeCell ref="A15:G15"/>
    <mergeCell ref="A30:G30"/>
    <mergeCell ref="A31:G31"/>
    <mergeCell ref="B36:G36"/>
    <mergeCell ref="J30:P30"/>
    <mergeCell ref="J31:P37"/>
  </mergeCells>
  <conditionalFormatting sqref="B96">
    <cfRule type="expression" dxfId="85" priority="10">
      <formula>$B$96&gt;0</formula>
    </cfRule>
  </conditionalFormatting>
  <conditionalFormatting sqref="B86">
    <cfRule type="expression" dxfId="84" priority="9">
      <formula>$B$86&gt;0</formula>
    </cfRule>
  </conditionalFormatting>
  <conditionalFormatting sqref="B105">
    <cfRule type="expression" dxfId="83" priority="11">
      <formula>$B$105&gt;0</formula>
    </cfRule>
  </conditionalFormatting>
  <conditionalFormatting sqref="B116">
    <cfRule type="expression" dxfId="82" priority="12">
      <formula>$B$116&gt;0</formula>
    </cfRule>
  </conditionalFormatting>
  <conditionalFormatting sqref="B125">
    <cfRule type="expression" dxfId="81" priority="13">
      <formula>$B$125&gt;0</formula>
    </cfRule>
  </conditionalFormatting>
  <conditionalFormatting sqref="B146">
    <cfRule type="expression" dxfId="80" priority="14">
      <formula>$B$146&gt;0</formula>
    </cfRule>
  </conditionalFormatting>
  <conditionalFormatting sqref="B40">
    <cfRule type="expression" dxfId="79" priority="6">
      <formula>$B$40="Yes"</formula>
    </cfRule>
  </conditionalFormatting>
  <conditionalFormatting sqref="B50">
    <cfRule type="expression" dxfId="78" priority="8">
      <formula>$B$50="Yes"</formula>
    </cfRule>
  </conditionalFormatting>
  <conditionalFormatting sqref="G23">
    <cfRule type="expression" dxfId="77" priority="5">
      <formula>$G$22&lt;0.35</formula>
    </cfRule>
  </conditionalFormatting>
  <conditionalFormatting sqref="G28">
    <cfRule type="expression" dxfId="76" priority="4">
      <formula>$G$27&lt;$G$26</formula>
    </cfRule>
  </conditionalFormatting>
  <conditionalFormatting sqref="G20">
    <cfRule type="expression" dxfId="75" priority="3">
      <formula>$G$19&lt;0.4</formula>
    </cfRule>
  </conditionalFormatting>
  <conditionalFormatting sqref="B34">
    <cfRule type="expression" dxfId="74" priority="2">
      <formula>$B$50="Yes"</formula>
    </cfRule>
  </conditionalFormatting>
  <conditionalFormatting sqref="B37">
    <cfRule type="expression" dxfId="73" priority="1">
      <formula>$B$50="Yes"</formula>
    </cfRule>
  </conditionalFormatting>
  <dataValidations count="9">
    <dataValidation type="list" allowBlank="1" showInputMessage="1" showErrorMessage="1" sqref="B40 B50 I40 B37 I50 B34 D154" xr:uid="{00000000-0002-0000-1000-000000000000}">
      <formula1>"Yes,No"</formula1>
    </dataValidation>
    <dataValidation type="list" allowBlank="1" showInputMessage="1" showErrorMessage="1" sqref="I146" xr:uid="{00000000-0002-0000-1000-000001000000}">
      <formula1>"0,1,2,3,4,5"</formula1>
    </dataValidation>
    <dataValidation type="list" allowBlank="1" showInputMessage="1" showErrorMessage="1" sqref="I96 I105 I86 I125" xr:uid="{00000000-0002-0000-1000-000002000000}">
      <formula1>"0,3,4,5"</formula1>
    </dataValidation>
    <dataValidation type="list" allowBlank="1" showInputMessage="1" showErrorMessage="1" sqref="C63 C65 C77 C74 C68 C71 C79" xr:uid="{00000000-0002-0000-1000-000003000000}">
      <formula1>"Agree"</formula1>
    </dataValidation>
    <dataValidation type="list" allowBlank="1" showInputMessage="1" showErrorMessage="1" sqref="D113:E113" xr:uid="{00000000-0002-0000-1000-000004000000}">
      <formula1>"TCI Index= 8 or higher, TCI Index= 4-7, TCI Index= 1-3, Development-Provided Transportation, none of the above"</formula1>
    </dataValidation>
    <dataValidation type="list" allowBlank="1" showInputMessage="1" showErrorMessage="1" sqref="D8" xr:uid="{00000000-0002-0000-1000-000005000000}">
      <formula1>"New Affordability: PJ,New Affordability: Non-PJ"</formula1>
    </dataValidation>
    <dataValidation type="list" allowBlank="1" showInputMessage="1" showErrorMessage="1" sqref="E135:F143" xr:uid="{00000000-0002-0000-1000-000006000000}">
      <formula1>"Private debt from non-related entity, Private capital from non-related entity, FHLB AHP funds, State historic tax credit equity, Grant/Loan from state or local government (not originating with federal govt)"</formula1>
    </dataValidation>
    <dataValidation type="list" allowBlank="1" showInputMessage="1" showErrorMessage="1" sqref="I116" xr:uid="{00000000-0002-0000-1000-000007000000}">
      <formula1>"0,2,3,4,5"</formula1>
    </dataValidation>
    <dataValidation type="list" allowBlank="1" showInputMessage="1" showErrorMessage="1" sqref="D155" xr:uid="{00000000-0002-0000-1000-000008000000}">
      <formula1>"60 or fewer total units,Serves a PSH population,100% adaptive reuse"</formula1>
    </dataValidation>
  </dataValidations>
  <hyperlinks>
    <hyperlink ref="C120" r:id="rId1" display="OHFA QAP Interactive Map" xr:uid="{00000000-0004-0000-1000-000000000000}"/>
    <hyperlink ref="C112" r:id="rId2" display="OHFA QAP Interactive Map - select &quot;Severe Housing Problems&quot; layer" xr:uid="{00000000-0004-0000-1000-000001000000}"/>
    <hyperlink ref="C90" r:id="rId3" xr:uid="{00000000-0004-0000-1000-000002000000}"/>
    <hyperlink ref="C91" r:id="rId4" xr:uid="{00000000-0004-0000-1000-000003000000}"/>
  </hyperlinks>
  <pageMargins left="0.25" right="0.25" top="0.75" bottom="0.75" header="0.3" footer="0.3"/>
  <pageSetup scale="81" fitToHeight="0" orientation="landscape" r:id="rId5"/>
  <rowBreaks count="3" manualBreakCount="3">
    <brk id="38" max="12" man="1"/>
    <brk id="75" max="12" man="1"/>
    <brk id="81" max="16383" man="1"/>
  </rowBreaks>
  <ignoredErrors>
    <ignoredError sqref="D152:D153 D121:D122 B160" evalError="1"/>
  </ignoredErrors>
  <drawing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8"/>
    <pageSetUpPr fitToPage="1"/>
  </sheetPr>
  <dimension ref="A1:P188"/>
  <sheetViews>
    <sheetView zoomScale="85" zoomScaleNormal="85" zoomScaleSheetLayoutView="85" workbookViewId="0">
      <selection activeCell="D104" sqref="D104"/>
    </sheetView>
  </sheetViews>
  <sheetFormatPr defaultColWidth="9" defaultRowHeight="14.25" x14ac:dyDescent="0.2"/>
  <cols>
    <col min="1" max="1" width="2.625" style="191" customWidth="1"/>
    <col min="2" max="2" width="9" style="191"/>
    <col min="3" max="3" width="29.25" style="191" customWidth="1"/>
    <col min="4" max="4" width="24.875" style="191" customWidth="1"/>
    <col min="5" max="5" width="19.875" style="191" customWidth="1"/>
    <col min="6" max="6" width="23.25" style="191" customWidth="1"/>
    <col min="7" max="7" width="31.875" style="191" customWidth="1"/>
    <col min="8" max="8" width="13.5" style="191" customWidth="1"/>
    <col min="9" max="9" width="11" style="191" hidden="1" customWidth="1"/>
    <col min="10" max="16" width="9" style="191" hidden="1" customWidth="1"/>
    <col min="17" max="18" width="9" style="191" customWidth="1"/>
    <col min="19" max="16384" width="9" style="191"/>
  </cols>
  <sheetData>
    <row r="1" spans="1:16" ht="54.95" customHeight="1" x14ac:dyDescent="0.2">
      <c r="C1" s="178"/>
    </row>
    <row r="2" spans="1:16" s="413" customFormat="1" ht="22.5" x14ac:dyDescent="0.3">
      <c r="A2" s="411" t="s">
        <v>4761</v>
      </c>
      <c r="B2" s="411"/>
      <c r="C2" s="412"/>
    </row>
    <row r="3" spans="1:16" s="193" customFormat="1" ht="15.75" x14ac:dyDescent="0.25">
      <c r="A3" s="671" t="s">
        <v>4297</v>
      </c>
      <c r="B3" s="344"/>
      <c r="C3" s="38">
        <f>Transmittal!C3</f>
        <v>0</v>
      </c>
    </row>
    <row r="5" spans="1:16" ht="18" x14ac:dyDescent="0.25">
      <c r="B5" s="372" t="s">
        <v>4200</v>
      </c>
      <c r="C5" s="373"/>
      <c r="D5" s="373"/>
      <c r="E5" s="373"/>
      <c r="F5" s="373"/>
      <c r="G5" s="373"/>
    </row>
    <row r="7" spans="1:16" x14ac:dyDescent="0.2">
      <c r="C7" s="5" t="s">
        <v>4197</v>
      </c>
      <c r="D7" s="217">
        <f>'Housing Credits'!C43</f>
        <v>0</v>
      </c>
      <c r="F7" s="5" t="s">
        <v>4198</v>
      </c>
      <c r="G7" s="374">
        <f>'Budget &amp; Costs'!S408</f>
        <v>0</v>
      </c>
    </row>
    <row r="8" spans="1:16" x14ac:dyDescent="0.2">
      <c r="C8" s="5" t="s">
        <v>4121</v>
      </c>
      <c r="D8" s="698"/>
      <c r="F8" s="5" t="s">
        <v>3621</v>
      </c>
      <c r="G8" s="375">
        <f>'Budget &amp; Costs'!C45</f>
        <v>0</v>
      </c>
    </row>
    <row r="9" spans="1:16" x14ac:dyDescent="0.2">
      <c r="C9" s="5" t="s">
        <v>4710</v>
      </c>
      <c r="D9" s="374">
        <f>IF(D8="Preserved Affordability: PJ",2000000,IF(D8="Preserved Affordability: Non-PJ",2500000,0))</f>
        <v>0</v>
      </c>
      <c r="F9" s="5" t="s">
        <v>4199</v>
      </c>
      <c r="G9" s="375">
        <f>'Budget &amp; Costs'!D50</f>
        <v>0</v>
      </c>
    </row>
    <row r="10" spans="1:16" ht="15" x14ac:dyDescent="0.25">
      <c r="C10" s="56" t="s">
        <v>4180</v>
      </c>
      <c r="D10" s="217">
        <f>'Budget &amp; Costs'!G239</f>
        <v>0</v>
      </c>
    </row>
    <row r="11" spans="1:16" ht="15" x14ac:dyDescent="0.25">
      <c r="C11" s="56" t="s">
        <v>4182</v>
      </c>
      <c r="D11" s="217">
        <f>'Budget &amp; Costs'!G240</f>
        <v>0</v>
      </c>
      <c r="F11" s="5"/>
      <c r="G11" s="5"/>
      <c r="H11" s="377"/>
    </row>
    <row r="12" spans="1:16" ht="15" x14ac:dyDescent="0.25">
      <c r="C12" s="56" t="s">
        <v>5050</v>
      </c>
      <c r="D12" s="217">
        <f>D10+D11</f>
        <v>0</v>
      </c>
      <c r="F12" s="5" t="s">
        <v>5067</v>
      </c>
      <c r="G12" s="699">
        <f>IFERROR(G84,0)</f>
        <v>0</v>
      </c>
      <c r="I12" s="191" t="s">
        <v>4711</v>
      </c>
      <c r="K12" s="10">
        <f>I83</f>
        <v>0</v>
      </c>
    </row>
    <row r="13" spans="1:16" ht="15" x14ac:dyDescent="0.25">
      <c r="C13" s="56"/>
      <c r="D13"/>
    </row>
    <row r="15" spans="1:16" ht="22.5" customHeight="1" x14ac:dyDescent="0.25">
      <c r="A15" s="1273" t="s">
        <v>4712</v>
      </c>
      <c r="B15" s="1274"/>
      <c r="C15" s="1274"/>
      <c r="D15" s="1274"/>
      <c r="E15" s="1274"/>
      <c r="F15" s="1274"/>
      <c r="G15" s="1275"/>
      <c r="H15" s="672"/>
      <c r="I15"/>
      <c r="J15" s="1262" t="s">
        <v>4713</v>
      </c>
      <c r="K15" s="1262"/>
      <c r="L15" s="1262"/>
      <c r="M15" s="1262"/>
      <c r="N15" s="1262"/>
      <c r="O15" s="1262"/>
      <c r="P15" s="1262"/>
    </row>
    <row r="16" spans="1:16" ht="16.5" customHeight="1" x14ac:dyDescent="0.25">
      <c r="A16" s="1326" t="s">
        <v>4714</v>
      </c>
      <c r="B16" s="1327"/>
      <c r="C16" s="1327"/>
      <c r="D16" s="1327"/>
      <c r="E16" s="1327"/>
      <c r="F16" s="1327"/>
      <c r="G16" s="1328"/>
      <c r="J16" s="1263"/>
      <c r="K16" s="1264"/>
      <c r="L16" s="1264"/>
      <c r="M16" s="1264"/>
      <c r="N16" s="1264"/>
      <c r="O16" s="1264"/>
      <c r="P16" s="1265"/>
    </row>
    <row r="17" spans="1:16" x14ac:dyDescent="0.2">
      <c r="B17"/>
      <c r="J17" s="1266"/>
      <c r="K17" s="1267"/>
      <c r="L17" s="1267"/>
      <c r="M17" s="1267"/>
      <c r="N17" s="1267"/>
      <c r="O17" s="1267"/>
      <c r="P17" s="1268"/>
    </row>
    <row r="18" spans="1:16" ht="15" x14ac:dyDescent="0.25">
      <c r="B18" s="373" t="s">
        <v>4715</v>
      </c>
      <c r="G18" s="673" t="s">
        <v>4716</v>
      </c>
      <c r="J18" s="1266"/>
      <c r="K18" s="1267"/>
      <c r="L18" s="1267"/>
      <c r="M18" s="1267"/>
      <c r="N18" s="1267"/>
      <c r="O18" s="1267"/>
      <c r="P18" s="1268"/>
    </row>
    <row r="19" spans="1:16" x14ac:dyDescent="0.2">
      <c r="B19" s="5" t="s">
        <v>4717</v>
      </c>
      <c r="G19" s="221">
        <f>IFERROR(SUM('Budget &amp; Costs'!F67+'Budget &amp; Costs'!F68+'Budget &amp; Costs'!F69+'Budget &amp; Costs'!F70),0)</f>
        <v>0</v>
      </c>
      <c r="J19" s="1266"/>
      <c r="K19" s="1267"/>
      <c r="L19" s="1267"/>
      <c r="M19" s="1267"/>
      <c r="N19" s="1267"/>
      <c r="O19" s="1267"/>
      <c r="P19" s="1268"/>
    </row>
    <row r="20" spans="1:16" x14ac:dyDescent="0.2">
      <c r="B20" s="5"/>
      <c r="G20" s="858" t="s">
        <v>5131</v>
      </c>
      <c r="J20" s="1266"/>
      <c r="K20" s="1267"/>
      <c r="L20" s="1267"/>
      <c r="M20" s="1267"/>
      <c r="N20" s="1267"/>
      <c r="O20" s="1267"/>
      <c r="P20" s="1268"/>
    </row>
    <row r="21" spans="1:16" ht="15" x14ac:dyDescent="0.25">
      <c r="B21" s="298" t="s">
        <v>4718</v>
      </c>
      <c r="J21" s="1266"/>
      <c r="K21" s="1267"/>
      <c r="L21" s="1267"/>
      <c r="M21" s="1267"/>
      <c r="N21" s="1267"/>
      <c r="O21" s="1267"/>
      <c r="P21" s="1268"/>
    </row>
    <row r="22" spans="1:16" x14ac:dyDescent="0.2">
      <c r="B22" s="191" t="s">
        <v>4719</v>
      </c>
      <c r="G22" s="221">
        <f>IFERROR(SUM('Budget &amp; Costs'!F67+'Budget &amp; Costs'!F68+'Budget &amp; Costs'!F69+'Budget &amp; Costs'!F70),0)</f>
        <v>0</v>
      </c>
      <c r="J22" s="1266"/>
      <c r="K22" s="1267"/>
      <c r="L22" s="1267"/>
      <c r="M22" s="1267"/>
      <c r="N22" s="1267"/>
      <c r="O22" s="1267"/>
      <c r="P22" s="1268"/>
    </row>
    <row r="23" spans="1:16" x14ac:dyDescent="0.2">
      <c r="G23" s="858" t="s">
        <v>5131</v>
      </c>
      <c r="J23" s="1266"/>
      <c r="K23" s="1267"/>
      <c r="L23" s="1267"/>
      <c r="M23" s="1267"/>
      <c r="N23" s="1267"/>
      <c r="O23" s="1267"/>
      <c r="P23" s="1268"/>
    </row>
    <row r="24" spans="1:16" ht="15" x14ac:dyDescent="0.25">
      <c r="B24" s="373" t="s">
        <v>4720</v>
      </c>
      <c r="J24" s="1266"/>
      <c r="K24" s="1267"/>
      <c r="L24" s="1267"/>
      <c r="M24" s="1267"/>
      <c r="N24" s="1267"/>
      <c r="O24" s="1267"/>
      <c r="P24" s="1268"/>
    </row>
    <row r="25" spans="1:16" ht="27.75" customHeight="1" x14ac:dyDescent="0.2">
      <c r="B25" s="1272" t="s">
        <v>4721</v>
      </c>
      <c r="C25" s="1272"/>
      <c r="D25" s="1272"/>
      <c r="E25" s="1272"/>
      <c r="F25" s="1272"/>
      <c r="G25" s="1272"/>
      <c r="J25" s="1266"/>
      <c r="K25" s="1267"/>
      <c r="L25" s="1267"/>
      <c r="M25" s="1267"/>
      <c r="N25" s="1267"/>
      <c r="O25" s="1267"/>
      <c r="P25" s="1268"/>
    </row>
    <row r="26" spans="1:16" x14ac:dyDescent="0.2">
      <c r="B26" s="5" t="s">
        <v>4722</v>
      </c>
      <c r="F26" s="674" t="s">
        <v>4723</v>
      </c>
      <c r="G26" s="375">
        <f>ROUNDUP(IF('Budget &amp; Costs'!D50*0.1&lt;5,5,'Budget &amp; Costs'!D50*0.1),0)</f>
        <v>5</v>
      </c>
      <c r="J26" s="1266"/>
      <c r="K26" s="1267"/>
      <c r="L26" s="1267"/>
      <c r="M26" s="1267"/>
      <c r="N26" s="1267"/>
      <c r="O26" s="1267"/>
      <c r="P26" s="1268"/>
    </row>
    <row r="27" spans="1:16" x14ac:dyDescent="0.2">
      <c r="B27" t="s">
        <v>4724</v>
      </c>
      <c r="F27" s="674" t="s">
        <v>4725</v>
      </c>
      <c r="G27" s="700">
        <f>SUM('Budget &amp; Costs'!D69+'Budget &amp; Costs'!D70)</f>
        <v>0</v>
      </c>
      <c r="J27" s="1266"/>
      <c r="K27" s="1267"/>
      <c r="L27" s="1267"/>
      <c r="M27" s="1267"/>
      <c r="N27" s="1267"/>
      <c r="O27" s="1267"/>
      <c r="P27" s="1268"/>
    </row>
    <row r="28" spans="1:16" ht="15" x14ac:dyDescent="0.25">
      <c r="B28" s="136" t="s">
        <v>5051</v>
      </c>
      <c r="F28" s="675"/>
      <c r="G28" s="858" t="s">
        <v>5131</v>
      </c>
      <c r="J28" s="1269"/>
      <c r="K28" s="1270"/>
      <c r="L28" s="1270"/>
      <c r="M28" s="1270"/>
      <c r="N28" s="1270"/>
      <c r="O28" s="1270"/>
      <c r="P28" s="1271"/>
    </row>
    <row r="30" spans="1:16" ht="22.5" customHeight="1" x14ac:dyDescent="0.25">
      <c r="A30" s="1273" t="s">
        <v>5057</v>
      </c>
      <c r="B30" s="1274"/>
      <c r="C30" s="1274"/>
      <c r="D30" s="1274"/>
      <c r="E30" s="1274"/>
      <c r="F30" s="1274"/>
      <c r="G30" s="1275"/>
      <c r="J30" s="1262" t="s">
        <v>5082</v>
      </c>
      <c r="K30" s="1262"/>
      <c r="L30" s="1262"/>
      <c r="M30" s="1262"/>
      <c r="N30" s="1262"/>
      <c r="O30" s="1262"/>
      <c r="P30" s="1262"/>
    </row>
    <row r="31" spans="1:16" ht="93.75" customHeight="1" x14ac:dyDescent="0.25">
      <c r="A31" s="1276" t="s">
        <v>5058</v>
      </c>
      <c r="B31" s="1277"/>
      <c r="C31" s="1277"/>
      <c r="D31" s="1277"/>
      <c r="E31" s="1277"/>
      <c r="F31" s="1277"/>
      <c r="G31" s="1278"/>
      <c r="J31" s="1280"/>
      <c r="K31" s="1280"/>
      <c r="L31" s="1280"/>
      <c r="M31" s="1280"/>
      <c r="N31" s="1280"/>
      <c r="O31" s="1280"/>
      <c r="P31" s="1280"/>
    </row>
    <row r="32" spans="1:16" x14ac:dyDescent="0.2">
      <c r="J32" s="1280"/>
      <c r="K32" s="1280"/>
      <c r="L32" s="1280"/>
      <c r="M32" s="1280"/>
      <c r="N32" s="1280"/>
      <c r="O32" s="1280"/>
      <c r="P32" s="1280"/>
    </row>
    <row r="33" spans="1:16" ht="15" x14ac:dyDescent="0.25">
      <c r="B33" s="373" t="s">
        <v>5060</v>
      </c>
      <c r="J33" s="1280"/>
      <c r="K33" s="1280"/>
      <c r="L33" s="1280"/>
      <c r="M33" s="1280"/>
      <c r="N33" s="1280"/>
      <c r="O33" s="1280"/>
      <c r="P33" s="1280"/>
    </row>
    <row r="34" spans="1:16" x14ac:dyDescent="0.2">
      <c r="B34" s="172"/>
      <c r="J34" s="1280"/>
      <c r="K34" s="1280"/>
      <c r="L34" s="1280"/>
      <c r="M34" s="1280"/>
      <c r="N34" s="1280"/>
      <c r="O34" s="1280"/>
      <c r="P34" s="1280"/>
    </row>
    <row r="35" spans="1:16" x14ac:dyDescent="0.2">
      <c r="J35" s="1280"/>
      <c r="K35" s="1280"/>
      <c r="L35" s="1280"/>
      <c r="M35" s="1280"/>
      <c r="N35" s="1280"/>
      <c r="O35" s="1280"/>
      <c r="P35" s="1280"/>
    </row>
    <row r="36" spans="1:16" ht="30.75" customHeight="1" x14ac:dyDescent="0.25">
      <c r="B36" s="1329" t="s">
        <v>5059</v>
      </c>
      <c r="C36" s="1329"/>
      <c r="D36" s="1329"/>
      <c r="E36" s="1329"/>
      <c r="F36" s="1329"/>
      <c r="G36" s="1329"/>
      <c r="J36" s="1280"/>
      <c r="K36" s="1280"/>
      <c r="L36" s="1280"/>
      <c r="M36" s="1280"/>
      <c r="N36" s="1280"/>
      <c r="O36" s="1280"/>
      <c r="P36" s="1280"/>
    </row>
    <row r="37" spans="1:16" x14ac:dyDescent="0.2">
      <c r="B37" s="172"/>
      <c r="J37" s="1280"/>
      <c r="K37" s="1280"/>
      <c r="L37" s="1280"/>
      <c r="M37" s="1280"/>
      <c r="N37" s="1280"/>
      <c r="O37" s="1280"/>
      <c r="P37" s="1280"/>
    </row>
    <row r="39" spans="1:16" ht="22.5" customHeight="1" x14ac:dyDescent="0.25">
      <c r="A39" s="1273" t="s">
        <v>5055</v>
      </c>
      <c r="B39" s="1274"/>
      <c r="C39" s="1274"/>
      <c r="D39" s="1274"/>
      <c r="E39" s="1274"/>
      <c r="F39" s="1274"/>
      <c r="G39" s="1275"/>
      <c r="H39" s="672"/>
      <c r="I39" t="s">
        <v>4303</v>
      </c>
      <c r="J39" s="1262" t="s">
        <v>4726</v>
      </c>
      <c r="K39" s="1262"/>
      <c r="L39" s="1262"/>
      <c r="M39" s="1262"/>
      <c r="N39" s="1262"/>
      <c r="O39" s="1262"/>
      <c r="P39" s="1262"/>
    </row>
    <row r="40" spans="1:16" ht="14.25" customHeight="1" x14ac:dyDescent="0.2">
      <c r="B40" s="172"/>
      <c r="C40" s="1257" t="s">
        <v>5054</v>
      </c>
      <c r="D40" s="1257"/>
      <c r="E40" s="1257"/>
      <c r="F40" s="1257"/>
      <c r="G40" s="1258"/>
      <c r="H40" s="198"/>
      <c r="I40" s="376"/>
      <c r="J40" s="1247"/>
      <c r="K40" s="1247"/>
      <c r="L40" s="1247"/>
      <c r="M40" s="1247"/>
      <c r="N40" s="1247"/>
      <c r="O40" s="1247"/>
      <c r="P40" s="1247"/>
    </row>
    <row r="41" spans="1:16" ht="74.25" customHeight="1" x14ac:dyDescent="0.2">
      <c r="B41" s="198"/>
      <c r="C41" s="1259"/>
      <c r="D41" s="1260"/>
      <c r="E41" s="1260"/>
      <c r="F41" s="1260"/>
      <c r="G41" s="1261"/>
      <c r="H41" s="198"/>
      <c r="J41" s="1247"/>
      <c r="K41" s="1247"/>
      <c r="L41" s="1247"/>
      <c r="M41" s="1247"/>
      <c r="N41" s="1247"/>
      <c r="O41" s="1247"/>
      <c r="P41" s="1247"/>
    </row>
    <row r="42" spans="1:16" x14ac:dyDescent="0.2">
      <c r="C42" s="378"/>
      <c r="D42" s="379"/>
      <c r="E42" s="379"/>
      <c r="F42" s="379"/>
      <c r="G42" s="379"/>
      <c r="J42" s="1247"/>
      <c r="K42" s="1247"/>
      <c r="L42" s="1247"/>
      <c r="M42" s="1247"/>
      <c r="N42" s="1247"/>
      <c r="O42" s="1247"/>
      <c r="P42" s="1247"/>
    </row>
    <row r="43" spans="1:16" x14ac:dyDescent="0.2">
      <c r="C43" s="1248" t="s">
        <v>4201</v>
      </c>
      <c r="D43" s="1249"/>
      <c r="E43" s="1249"/>
      <c r="F43" s="1249"/>
      <c r="G43" s="1250"/>
      <c r="J43" s="1247"/>
      <c r="K43" s="1247"/>
      <c r="L43" s="1247"/>
      <c r="M43" s="1247"/>
      <c r="N43" s="1247"/>
      <c r="O43" s="1247"/>
      <c r="P43" s="1247"/>
    </row>
    <row r="44" spans="1:16" x14ac:dyDescent="0.2">
      <c r="C44" s="1251"/>
      <c r="D44" s="1252"/>
      <c r="E44" s="1252"/>
      <c r="F44" s="1252"/>
      <c r="G44" s="1253"/>
      <c r="J44" s="1247"/>
      <c r="K44" s="1247"/>
      <c r="L44" s="1247"/>
      <c r="M44" s="1247"/>
      <c r="N44" s="1247"/>
      <c r="O44" s="1247"/>
      <c r="P44" s="1247"/>
    </row>
    <row r="45" spans="1:16" x14ac:dyDescent="0.2">
      <c r="C45" s="1251"/>
      <c r="D45" s="1252"/>
      <c r="E45" s="1252"/>
      <c r="F45" s="1252"/>
      <c r="G45" s="1253"/>
      <c r="J45" s="1247"/>
      <c r="K45" s="1247"/>
      <c r="L45" s="1247"/>
      <c r="M45" s="1247"/>
      <c r="N45" s="1247"/>
      <c r="O45" s="1247"/>
      <c r="P45" s="1247"/>
    </row>
    <row r="46" spans="1:16" x14ac:dyDescent="0.2">
      <c r="C46" s="1251"/>
      <c r="D46" s="1252"/>
      <c r="E46" s="1252"/>
      <c r="F46" s="1252"/>
      <c r="G46" s="1253"/>
      <c r="J46" s="1247"/>
      <c r="K46" s="1247"/>
      <c r="L46" s="1247"/>
      <c r="M46" s="1247"/>
      <c r="N46" s="1247"/>
      <c r="O46" s="1247"/>
      <c r="P46" s="1247"/>
    </row>
    <row r="47" spans="1:16" x14ac:dyDescent="0.2">
      <c r="C47" s="1251"/>
      <c r="D47" s="1252"/>
      <c r="E47" s="1252"/>
      <c r="F47" s="1252"/>
      <c r="G47" s="1253"/>
      <c r="J47" s="1247"/>
      <c r="K47" s="1247"/>
      <c r="L47" s="1247"/>
      <c r="M47" s="1247"/>
      <c r="N47" s="1247"/>
      <c r="O47" s="1247"/>
      <c r="P47" s="1247"/>
    </row>
    <row r="48" spans="1:16" x14ac:dyDescent="0.2">
      <c r="C48" s="1254"/>
      <c r="D48" s="1255"/>
      <c r="E48" s="1255"/>
      <c r="F48" s="1255"/>
      <c r="G48" s="1256"/>
      <c r="J48" s="1247"/>
      <c r="K48" s="1247"/>
      <c r="L48" s="1247"/>
      <c r="M48" s="1247"/>
      <c r="N48" s="1247"/>
      <c r="O48" s="1247"/>
      <c r="P48" s="1247"/>
    </row>
    <row r="49" spans="2:16" x14ac:dyDescent="0.2">
      <c r="C49" s="378"/>
      <c r="D49" s="379"/>
      <c r="E49" s="379"/>
      <c r="F49" s="379"/>
      <c r="G49" s="379"/>
      <c r="I49" s="191" t="s">
        <v>5083</v>
      </c>
      <c r="J49" s="676"/>
      <c r="K49" s="676"/>
      <c r="L49" s="676"/>
      <c r="M49" s="676"/>
      <c r="N49" s="676"/>
      <c r="O49" s="676"/>
      <c r="P49" s="676"/>
    </row>
    <row r="50" spans="2:16" ht="14.25" customHeight="1" x14ac:dyDescent="0.2">
      <c r="B50" s="172"/>
      <c r="C50" s="1257" t="s">
        <v>5053</v>
      </c>
      <c r="D50" s="1257"/>
      <c r="E50" s="1257"/>
      <c r="F50" s="1257"/>
      <c r="G50" s="1258"/>
      <c r="H50" s="198"/>
      <c r="I50" s="376"/>
      <c r="J50" s="1281"/>
      <c r="K50" s="1282"/>
      <c r="L50" s="1282"/>
      <c r="M50" s="1282"/>
      <c r="N50" s="1282"/>
      <c r="O50" s="1282"/>
      <c r="P50" s="1283"/>
    </row>
    <row r="51" spans="2:16" ht="46.5" customHeight="1" x14ac:dyDescent="0.2">
      <c r="B51" s="198"/>
      <c r="C51" s="1259"/>
      <c r="D51" s="1260"/>
      <c r="E51" s="1260"/>
      <c r="F51" s="1260"/>
      <c r="G51" s="1261"/>
      <c r="H51" s="198"/>
      <c r="J51" s="1284"/>
      <c r="K51" s="1285"/>
      <c r="L51" s="1285"/>
      <c r="M51" s="1285"/>
      <c r="N51" s="1285"/>
      <c r="O51" s="1285"/>
      <c r="P51" s="1286"/>
    </row>
    <row r="52" spans="2:16" x14ac:dyDescent="0.2">
      <c r="C52" s="378"/>
      <c r="D52" s="379"/>
      <c r="E52" s="379"/>
      <c r="F52" s="379"/>
      <c r="G52" s="379"/>
      <c r="J52" s="1284"/>
      <c r="K52" s="1285"/>
      <c r="L52" s="1285"/>
      <c r="M52" s="1285"/>
      <c r="N52" s="1285"/>
      <c r="O52" s="1285"/>
      <c r="P52" s="1286"/>
    </row>
    <row r="53" spans="2:16" x14ac:dyDescent="0.2">
      <c r="C53" s="1248" t="s">
        <v>4201</v>
      </c>
      <c r="D53" s="1249"/>
      <c r="E53" s="1249"/>
      <c r="F53" s="1249"/>
      <c r="G53" s="1250"/>
      <c r="J53" s="1284"/>
      <c r="K53" s="1285"/>
      <c r="L53" s="1285"/>
      <c r="M53" s="1285"/>
      <c r="N53" s="1285"/>
      <c r="O53" s="1285"/>
      <c r="P53" s="1286"/>
    </row>
    <row r="54" spans="2:16" x14ac:dyDescent="0.2">
      <c r="C54" s="1251"/>
      <c r="D54" s="1252"/>
      <c r="E54" s="1252"/>
      <c r="F54" s="1252"/>
      <c r="G54" s="1253"/>
      <c r="J54" s="1284"/>
      <c r="K54" s="1285"/>
      <c r="L54" s="1285"/>
      <c r="M54" s="1285"/>
      <c r="N54" s="1285"/>
      <c r="O54" s="1285"/>
      <c r="P54" s="1286"/>
    </row>
    <row r="55" spans="2:16" x14ac:dyDescent="0.2">
      <c r="C55" s="1251"/>
      <c r="D55" s="1252"/>
      <c r="E55" s="1252"/>
      <c r="F55" s="1252"/>
      <c r="G55" s="1253"/>
      <c r="J55" s="1284"/>
      <c r="K55" s="1285"/>
      <c r="L55" s="1285"/>
      <c r="M55" s="1285"/>
      <c r="N55" s="1285"/>
      <c r="O55" s="1285"/>
      <c r="P55" s="1286"/>
    </row>
    <row r="56" spans="2:16" x14ac:dyDescent="0.2">
      <c r="C56" s="1251"/>
      <c r="D56" s="1252"/>
      <c r="E56" s="1252"/>
      <c r="F56" s="1252"/>
      <c r="G56" s="1253"/>
      <c r="J56" s="1284"/>
      <c r="K56" s="1285"/>
      <c r="L56" s="1285"/>
      <c r="M56" s="1285"/>
      <c r="N56" s="1285"/>
      <c r="O56" s="1285"/>
      <c r="P56" s="1286"/>
    </row>
    <row r="57" spans="2:16" x14ac:dyDescent="0.2">
      <c r="C57" s="1251"/>
      <c r="D57" s="1252"/>
      <c r="E57" s="1252"/>
      <c r="F57" s="1252"/>
      <c r="G57" s="1253"/>
      <c r="J57" s="1284"/>
      <c r="K57" s="1285"/>
      <c r="L57" s="1285"/>
      <c r="M57" s="1285"/>
      <c r="N57" s="1285"/>
      <c r="O57" s="1285"/>
      <c r="P57" s="1286"/>
    </row>
    <row r="58" spans="2:16" x14ac:dyDescent="0.2">
      <c r="C58" s="1254"/>
      <c r="D58" s="1255"/>
      <c r="E58" s="1255"/>
      <c r="F58" s="1255"/>
      <c r="G58" s="1256"/>
      <c r="J58" s="1287"/>
      <c r="K58" s="1288"/>
      <c r="L58" s="1288"/>
      <c r="M58" s="1288"/>
      <c r="N58" s="1288"/>
      <c r="O58" s="1288"/>
      <c r="P58" s="1289"/>
    </row>
    <row r="59" spans="2:16" x14ac:dyDescent="0.2">
      <c r="J59" s="460"/>
      <c r="K59" s="460"/>
      <c r="L59" s="460"/>
      <c r="M59" s="460"/>
      <c r="N59" s="460"/>
      <c r="O59" s="460"/>
      <c r="P59" s="460"/>
    </row>
    <row r="60" spans="2:16" x14ac:dyDescent="0.2">
      <c r="B60" s="5"/>
      <c r="C60" s="1290" t="s">
        <v>5072</v>
      </c>
      <c r="D60" s="1290"/>
      <c r="E60" s="1290"/>
      <c r="F60" s="1290"/>
      <c r="G60" s="1291"/>
      <c r="J60" s="1294" t="s">
        <v>4727</v>
      </c>
      <c r="K60" s="1294"/>
      <c r="L60" s="1294"/>
      <c r="M60" s="1294"/>
      <c r="N60" s="1294"/>
      <c r="O60" s="1294"/>
      <c r="P60" s="1294"/>
    </row>
    <row r="61" spans="2:16" x14ac:dyDescent="0.2">
      <c r="B61" s="5"/>
      <c r="C61" s="1292"/>
      <c r="D61" s="1292"/>
      <c r="E61" s="1292"/>
      <c r="F61" s="1292"/>
      <c r="G61" s="1293"/>
      <c r="J61" s="1294"/>
      <c r="K61" s="1294"/>
      <c r="L61" s="1294"/>
      <c r="M61" s="1294"/>
      <c r="N61" s="1294"/>
      <c r="O61" s="1294"/>
      <c r="P61" s="1294"/>
    </row>
    <row r="62" spans="2:16" x14ac:dyDescent="0.2">
      <c r="B62" s="1295"/>
      <c r="C62" s="1296"/>
      <c r="D62" s="1296"/>
      <c r="E62" s="1296"/>
      <c r="F62" s="1296"/>
      <c r="G62" s="1296"/>
      <c r="H62" s="26"/>
      <c r="I62" s="26"/>
      <c r="J62" s="1247"/>
      <c r="K62" s="1247"/>
      <c r="L62" s="1247"/>
      <c r="M62" s="1247"/>
      <c r="N62" s="1247"/>
      <c r="O62" s="1247"/>
      <c r="P62" s="1247"/>
    </row>
    <row r="63" spans="2:16" ht="14.25" customHeight="1" x14ac:dyDescent="0.2">
      <c r="C63" s="172"/>
      <c r="D63" s="1297" t="s">
        <v>4728</v>
      </c>
      <c r="E63" s="1044"/>
      <c r="F63" s="1044"/>
      <c r="G63" s="1044"/>
      <c r="H63" s="369"/>
      <c r="J63" s="1247"/>
      <c r="K63" s="1247"/>
      <c r="L63" s="1247"/>
      <c r="M63" s="1247"/>
      <c r="N63" s="1247"/>
      <c r="O63" s="1247"/>
      <c r="P63" s="1247"/>
    </row>
    <row r="64" spans="2:16" x14ac:dyDescent="0.2">
      <c r="C64" s="93"/>
      <c r="D64" s="93"/>
      <c r="E64" s="93"/>
      <c r="F64" s="93"/>
      <c r="G64" s="93"/>
      <c r="H64" s="93"/>
      <c r="J64" s="1247"/>
      <c r="K64" s="1247"/>
      <c r="L64" s="1247"/>
      <c r="M64" s="1247"/>
      <c r="N64" s="1247"/>
      <c r="O64" s="1247"/>
      <c r="P64" s="1247"/>
    </row>
    <row r="65" spans="3:16" ht="14.25" customHeight="1" x14ac:dyDescent="0.2">
      <c r="C65" s="172"/>
      <c r="D65" s="1044" t="s">
        <v>4357</v>
      </c>
      <c r="E65" s="1044"/>
      <c r="F65" s="1044"/>
      <c r="G65" s="1044"/>
      <c r="H65" s="369"/>
      <c r="J65" s="1247"/>
      <c r="K65" s="1247"/>
      <c r="L65" s="1247"/>
      <c r="M65" s="1247"/>
      <c r="N65" s="1247"/>
      <c r="O65" s="1247"/>
      <c r="P65" s="1247"/>
    </row>
    <row r="66" spans="3:16" ht="57" customHeight="1" x14ac:dyDescent="0.2">
      <c r="C66" s="93"/>
      <c r="D66" s="1044"/>
      <c r="E66" s="1044"/>
      <c r="F66" s="1044"/>
      <c r="G66" s="1044"/>
      <c r="H66" s="369"/>
      <c r="J66" s="1247"/>
      <c r="K66" s="1247"/>
      <c r="L66" s="1247"/>
      <c r="M66" s="1247"/>
      <c r="N66" s="1247"/>
      <c r="O66" s="1247"/>
      <c r="P66" s="1247"/>
    </row>
    <row r="67" spans="3:16" x14ac:dyDescent="0.2">
      <c r="C67" s="93"/>
      <c r="D67" s="93"/>
      <c r="E67" s="93"/>
      <c r="F67" s="93"/>
      <c r="G67" s="93"/>
      <c r="H67" s="93"/>
      <c r="J67" s="1247"/>
      <c r="K67" s="1247"/>
      <c r="L67" s="1247"/>
      <c r="M67" s="1247"/>
      <c r="N67" s="1247"/>
      <c r="O67" s="1247"/>
      <c r="P67" s="1247"/>
    </row>
    <row r="68" spans="3:16" ht="14.25" customHeight="1" x14ac:dyDescent="0.2">
      <c r="C68" s="172"/>
      <c r="D68" s="1044" t="s">
        <v>4729</v>
      </c>
      <c r="E68" s="1044"/>
      <c r="F68" s="1044"/>
      <c r="G68" s="1044"/>
      <c r="H68" s="369"/>
      <c r="J68" s="1247"/>
      <c r="K68" s="1247"/>
      <c r="L68" s="1247"/>
      <c r="M68" s="1247"/>
      <c r="N68" s="1247"/>
      <c r="O68" s="1247"/>
      <c r="P68" s="1247"/>
    </row>
    <row r="69" spans="3:16" ht="30.75" customHeight="1" x14ac:dyDescent="0.2">
      <c r="C69" s="93"/>
      <c r="D69" s="1044"/>
      <c r="E69" s="1044"/>
      <c r="F69" s="1044"/>
      <c r="G69" s="1044"/>
      <c r="H69" s="369"/>
      <c r="J69" s="1247"/>
      <c r="K69" s="1247"/>
      <c r="L69" s="1247"/>
      <c r="M69" s="1247"/>
      <c r="N69" s="1247"/>
      <c r="O69" s="1247"/>
      <c r="P69" s="1247"/>
    </row>
    <row r="70" spans="3:16" x14ac:dyDescent="0.2">
      <c r="C70" s="93"/>
      <c r="D70" s="93"/>
      <c r="E70" s="93"/>
      <c r="F70" s="93"/>
      <c r="G70" s="93"/>
      <c r="H70" s="93"/>
      <c r="J70" s="1247"/>
      <c r="K70" s="1247"/>
      <c r="L70" s="1247"/>
      <c r="M70" s="1247"/>
      <c r="N70" s="1247"/>
      <c r="O70" s="1247"/>
      <c r="P70" s="1247"/>
    </row>
    <row r="71" spans="3:16" ht="14.25" customHeight="1" x14ac:dyDescent="0.2">
      <c r="C71" s="172"/>
      <c r="D71" s="1044" t="s">
        <v>4203</v>
      </c>
      <c r="E71" s="1044"/>
      <c r="F71" s="1044"/>
      <c r="G71" s="1044"/>
      <c r="H71" s="369"/>
      <c r="J71" s="1247"/>
      <c r="K71" s="1247"/>
      <c r="L71" s="1247"/>
      <c r="M71" s="1247"/>
      <c r="N71" s="1247"/>
      <c r="O71" s="1247"/>
      <c r="P71" s="1247"/>
    </row>
    <row r="72" spans="3:16" ht="28.5" customHeight="1" x14ac:dyDescent="0.2">
      <c r="C72" s="93"/>
      <c r="D72" s="1044"/>
      <c r="E72" s="1044"/>
      <c r="F72" s="1044"/>
      <c r="G72" s="1044"/>
      <c r="H72" s="369"/>
      <c r="J72" s="1247"/>
      <c r="K72" s="1247"/>
      <c r="L72" s="1247"/>
      <c r="M72" s="1247"/>
      <c r="N72" s="1247"/>
      <c r="O72" s="1247"/>
      <c r="P72" s="1247"/>
    </row>
    <row r="73" spans="3:16" x14ac:dyDescent="0.2">
      <c r="C73" s="93"/>
      <c r="D73" s="93"/>
      <c r="E73" s="93"/>
      <c r="F73" s="93"/>
      <c r="G73" s="93"/>
      <c r="H73" s="93"/>
      <c r="J73" s="1247"/>
      <c r="K73" s="1247"/>
      <c r="L73" s="1247"/>
      <c r="M73" s="1247"/>
      <c r="N73" s="1247"/>
      <c r="O73" s="1247"/>
      <c r="P73" s="1247"/>
    </row>
    <row r="74" spans="3:16" ht="14.25" customHeight="1" x14ac:dyDescent="0.2">
      <c r="C74" s="172"/>
      <c r="D74" s="1044" t="s">
        <v>4730</v>
      </c>
      <c r="E74" s="1044"/>
      <c r="F74" s="1044"/>
      <c r="G74" s="1044"/>
      <c r="H74" s="369"/>
      <c r="J74" s="1247"/>
      <c r="K74" s="1247"/>
      <c r="L74" s="1247"/>
      <c r="M74" s="1247"/>
      <c r="N74" s="1247"/>
      <c r="O74" s="1247"/>
      <c r="P74" s="1247"/>
    </row>
    <row r="75" spans="3:16" x14ac:dyDescent="0.2">
      <c r="C75" s="93"/>
      <c r="D75" s="1044"/>
      <c r="E75" s="1044"/>
      <c r="F75" s="1044"/>
      <c r="G75" s="1044"/>
      <c r="H75" s="369"/>
      <c r="J75" s="1247"/>
      <c r="K75" s="1247"/>
      <c r="L75" s="1247"/>
      <c r="M75" s="1247"/>
      <c r="N75" s="1247"/>
      <c r="O75" s="1247"/>
      <c r="P75" s="1247"/>
    </row>
    <row r="76" spans="3:16" x14ac:dyDescent="0.2">
      <c r="C76" s="93"/>
      <c r="D76" s="369"/>
      <c r="E76" s="369"/>
      <c r="F76" s="369"/>
      <c r="G76" s="369"/>
      <c r="H76" s="369"/>
      <c r="J76" s="1247"/>
      <c r="K76" s="1247"/>
      <c r="L76" s="1247"/>
      <c r="M76" s="1247"/>
      <c r="N76" s="1247"/>
      <c r="O76" s="1247"/>
      <c r="P76" s="1247"/>
    </row>
    <row r="77" spans="3:16" ht="14.25" customHeight="1" x14ac:dyDescent="0.2">
      <c r="C77" s="172"/>
      <c r="D77" s="1297" t="s">
        <v>4204</v>
      </c>
      <c r="E77" s="1044"/>
      <c r="F77" s="1044"/>
      <c r="G77" s="1044"/>
      <c r="H77" s="369"/>
      <c r="J77" s="1247"/>
      <c r="K77" s="1247"/>
      <c r="L77" s="1247"/>
      <c r="M77" s="1247"/>
      <c r="N77" s="1247"/>
      <c r="O77" s="1247"/>
      <c r="P77" s="1247"/>
    </row>
    <row r="78" spans="3:16" x14ac:dyDescent="0.2">
      <c r="C78" s="93"/>
      <c r="D78" s="93"/>
      <c r="E78" s="93"/>
      <c r="F78" s="93"/>
      <c r="G78" s="93"/>
      <c r="H78" s="93"/>
      <c r="J78" s="1247"/>
      <c r="K78" s="1247"/>
      <c r="L78" s="1247"/>
      <c r="M78" s="1247"/>
      <c r="N78" s="1247"/>
      <c r="O78" s="1247"/>
      <c r="P78" s="1247"/>
    </row>
    <row r="79" spans="3:16" ht="14.25" customHeight="1" x14ac:dyDescent="0.2">
      <c r="C79" s="172"/>
      <c r="D79" s="1044" t="s">
        <v>5052</v>
      </c>
      <c r="E79" s="1044"/>
      <c r="F79" s="1044"/>
      <c r="G79" s="1044"/>
      <c r="H79" s="369"/>
      <c r="J79" s="1247"/>
      <c r="K79" s="1247"/>
      <c r="L79" s="1247"/>
      <c r="M79" s="1247"/>
      <c r="N79" s="1247"/>
      <c r="O79" s="1247"/>
      <c r="P79" s="1247"/>
    </row>
    <row r="80" spans="3:16" ht="59.25" customHeight="1" x14ac:dyDescent="0.2">
      <c r="C80" s="5"/>
      <c r="D80" s="1044"/>
      <c r="E80" s="1044"/>
      <c r="F80" s="1044"/>
      <c r="G80" s="1044"/>
      <c r="H80" s="369"/>
      <c r="J80" s="1247"/>
      <c r="K80" s="1247"/>
      <c r="L80" s="1247"/>
      <c r="M80" s="1247"/>
      <c r="N80" s="1247"/>
      <c r="O80" s="1247"/>
      <c r="P80" s="1247"/>
    </row>
    <row r="81" spans="1:16" x14ac:dyDescent="0.2">
      <c r="C81" s="5"/>
      <c r="D81" s="369"/>
      <c r="E81" s="369"/>
      <c r="F81" s="369"/>
      <c r="G81" s="369"/>
      <c r="H81" s="369"/>
      <c r="J81" s="460"/>
      <c r="K81" s="460"/>
      <c r="L81" s="460"/>
      <c r="M81" s="460"/>
      <c r="N81" s="460"/>
      <c r="O81" s="460"/>
      <c r="P81" s="460"/>
    </row>
    <row r="83" spans="1:16" ht="22.5" customHeight="1" x14ac:dyDescent="0.25">
      <c r="A83" s="1273" t="s">
        <v>4762</v>
      </c>
      <c r="B83" s="1274"/>
      <c r="C83" s="1274"/>
      <c r="D83" s="1274"/>
      <c r="E83" s="1274"/>
      <c r="F83" s="1274"/>
      <c r="G83" s="1275"/>
      <c r="H83" s="672"/>
      <c r="I83" s="677">
        <f>SUM(I97,I86,I118,I153,I169)</f>
        <v>0</v>
      </c>
      <c r="J83" s="1262" t="s">
        <v>4304</v>
      </c>
      <c r="K83" s="1262"/>
      <c r="L83" s="1262"/>
      <c r="M83" s="1262"/>
      <c r="N83" s="1262"/>
      <c r="O83" s="1262"/>
      <c r="P83" s="1262"/>
    </row>
    <row r="84" spans="1:16" ht="18.75" customHeight="1" x14ac:dyDescent="0.25">
      <c r="A84" s="678"/>
      <c r="B84" s="679"/>
      <c r="C84" s="679"/>
      <c r="D84" s="679"/>
      <c r="E84" s="680"/>
      <c r="F84" s="681" t="s">
        <v>3949</v>
      </c>
      <c r="G84" s="707">
        <f>B86+B118+B153+B169</f>
        <v>0</v>
      </c>
      <c r="J84" s="676"/>
      <c r="K84" s="676"/>
      <c r="L84" s="676"/>
      <c r="M84" s="676"/>
      <c r="N84" s="676"/>
      <c r="O84" s="676"/>
      <c r="P84" s="676"/>
    </row>
    <row r="85" spans="1:16" x14ac:dyDescent="0.2">
      <c r="I85" s="191" t="s">
        <v>4763</v>
      </c>
      <c r="J85" s="682"/>
      <c r="K85" s="682"/>
      <c r="L85" s="682"/>
      <c r="M85" s="682"/>
      <c r="N85" s="682"/>
      <c r="O85" s="682"/>
      <c r="P85" s="682"/>
    </row>
    <row r="86" spans="1:16" ht="14.25" customHeight="1" x14ac:dyDescent="0.2">
      <c r="B86" s="701">
        <f>MAX(F91,F94)</f>
        <v>0</v>
      </c>
      <c r="C86" s="1298" t="s">
        <v>4764</v>
      </c>
      <c r="D86" s="1299"/>
      <c r="E86" s="1299"/>
      <c r="F86" s="1299"/>
      <c r="G86" s="1300"/>
      <c r="I86" s="376"/>
      <c r="J86" s="1247"/>
      <c r="K86" s="1247"/>
      <c r="L86" s="1247"/>
      <c r="M86" s="1247"/>
      <c r="N86" s="1247"/>
      <c r="O86" s="1247"/>
      <c r="P86" s="1247"/>
    </row>
    <row r="87" spans="1:16" ht="33.75" customHeight="1" x14ac:dyDescent="0.2">
      <c r="B87" s="198"/>
      <c r="C87" s="1313" t="s">
        <v>4765</v>
      </c>
      <c r="D87" s="1314"/>
      <c r="E87" s="1314"/>
      <c r="F87" s="1314"/>
      <c r="G87" s="1315"/>
      <c r="J87" s="1247"/>
      <c r="K87" s="1247"/>
      <c r="L87" s="1247"/>
      <c r="M87" s="1247"/>
      <c r="N87" s="1247"/>
      <c r="O87" s="1247"/>
      <c r="P87" s="1247"/>
    </row>
    <row r="88" spans="1:16" ht="32.25" customHeight="1" x14ac:dyDescent="0.2">
      <c r="B88" s="198"/>
      <c r="C88" s="1301" t="s">
        <v>5103</v>
      </c>
      <c r="D88" s="1302"/>
      <c r="E88" s="1302"/>
      <c r="F88" s="1302"/>
      <c r="G88" s="1303"/>
      <c r="J88" s="1247"/>
      <c r="K88" s="1247"/>
      <c r="L88" s="1247"/>
      <c r="M88" s="1247"/>
      <c r="N88" s="1247"/>
      <c r="O88" s="1247"/>
      <c r="P88" s="1247"/>
    </row>
    <row r="89" spans="1:16" x14ac:dyDescent="0.2">
      <c r="F89" s="380"/>
      <c r="J89" s="1247"/>
      <c r="K89" s="1247"/>
      <c r="L89" s="1247"/>
      <c r="M89" s="1247"/>
      <c r="N89" s="1247"/>
      <c r="O89" s="1247"/>
      <c r="P89" s="1247"/>
    </row>
    <row r="90" spans="1:16" x14ac:dyDescent="0.2">
      <c r="C90" s="5" t="s">
        <v>4766</v>
      </c>
      <c r="D90" s="5"/>
      <c r="E90" s="5"/>
      <c r="F90" s="5"/>
      <c r="J90" s="1247"/>
      <c r="K90" s="1247"/>
      <c r="L90" s="1247"/>
      <c r="M90" s="1247"/>
      <c r="N90" s="1247"/>
      <c r="O90" s="1247"/>
      <c r="P90" s="1247"/>
    </row>
    <row r="91" spans="1:16" x14ac:dyDescent="0.2">
      <c r="C91" s="1196"/>
      <c r="D91" s="1196"/>
      <c r="E91" s="37" t="s">
        <v>4202</v>
      </c>
      <c r="F91" s="684">
        <f>IF(C91="Commitment on at least 70% of affordable units",2,IF(C91="Commitment on at least 80% of affordable units",3,IF(C91="Commitment on at least 90% of affordable units",4,IF(C91="Commitment on 100% of affordable units",5,0))))</f>
        <v>0</v>
      </c>
      <c r="J91" s="1247"/>
      <c r="K91" s="1247"/>
      <c r="L91" s="1247"/>
      <c r="M91" s="1247"/>
      <c r="N91" s="1247"/>
      <c r="O91" s="1247"/>
      <c r="P91" s="1247"/>
    </row>
    <row r="92" spans="1:16" x14ac:dyDescent="0.2">
      <c r="C92" s="696" t="s">
        <v>4427</v>
      </c>
      <c r="D92" s="5"/>
      <c r="E92" s="5"/>
      <c r="F92" s="5"/>
      <c r="J92" s="1247"/>
      <c r="K92" s="1247"/>
      <c r="L92" s="1247"/>
      <c r="M92" s="1247"/>
      <c r="N92" s="1247"/>
      <c r="O92" s="1247"/>
      <c r="P92" s="1247"/>
    </row>
    <row r="93" spans="1:16" x14ac:dyDescent="0.2">
      <c r="C93" s="5" t="s">
        <v>4767</v>
      </c>
      <c r="D93" s="5"/>
      <c r="E93" s="5"/>
      <c r="F93" s="5"/>
      <c r="J93" s="1247"/>
      <c r="K93" s="1247"/>
      <c r="L93" s="1247"/>
      <c r="M93" s="1247"/>
      <c r="N93" s="1247"/>
      <c r="O93" s="1247"/>
      <c r="P93" s="1247"/>
    </row>
    <row r="94" spans="1:16" x14ac:dyDescent="0.2">
      <c r="C94" s="1196"/>
      <c r="D94" s="1196"/>
      <c r="E94" s="37" t="s">
        <v>4202</v>
      </c>
      <c r="F94" s="684">
        <f>IF(C94="Commitment on at least 30% of affordable units",2,IF(C94="Commitment on at least 40% of affordable units",3,IF(C94="Commitment on at least 50% of affordable units",4,IF(C94="Commitment on at least 60% of affordable units",5,0))))</f>
        <v>0</v>
      </c>
      <c r="J94" s="1247"/>
      <c r="K94" s="1247"/>
      <c r="L94" s="1247"/>
      <c r="M94" s="1247"/>
      <c r="N94" s="1247"/>
      <c r="O94" s="1247"/>
      <c r="P94" s="1247"/>
    </row>
    <row r="95" spans="1:16" x14ac:dyDescent="0.2">
      <c r="C95" s="5"/>
      <c r="D95" s="5"/>
      <c r="E95" s="5"/>
      <c r="F95" s="5"/>
      <c r="J95" s="1247"/>
      <c r="K95" s="1247"/>
      <c r="L95" s="1247"/>
      <c r="M95" s="1247"/>
      <c r="N95" s="1247"/>
      <c r="O95" s="1247"/>
      <c r="P95" s="1247"/>
    </row>
    <row r="96" spans="1:16" x14ac:dyDescent="0.2">
      <c r="D96" s="5"/>
      <c r="E96" s="5"/>
      <c r="I96" s="191" t="s">
        <v>4305</v>
      </c>
      <c r="J96" s="689"/>
      <c r="K96" s="689"/>
      <c r="L96" s="689"/>
      <c r="M96" s="689"/>
      <c r="N96" s="689"/>
      <c r="O96" s="689"/>
      <c r="P96" s="689"/>
    </row>
    <row r="97" spans="2:16" ht="14.25" customHeight="1" x14ac:dyDescent="0.2">
      <c r="B97" s="701" t="s">
        <v>5097</v>
      </c>
      <c r="C97" s="876" t="s">
        <v>5005</v>
      </c>
      <c r="D97" s="877"/>
      <c r="E97" s="877"/>
      <c r="F97" s="877"/>
      <c r="G97" s="875"/>
      <c r="I97" s="376"/>
      <c r="J97" s="1247"/>
      <c r="K97" s="1247"/>
      <c r="L97" s="1247"/>
      <c r="M97" s="1247"/>
      <c r="N97" s="1247"/>
      <c r="O97" s="1247"/>
      <c r="P97" s="1247"/>
    </row>
    <row r="98" spans="2:16" ht="61.5" customHeight="1" x14ac:dyDescent="0.2">
      <c r="B98" s="198"/>
      <c r="C98" s="1313" t="s">
        <v>5099</v>
      </c>
      <c r="D98" s="1314"/>
      <c r="E98" s="1314"/>
      <c r="F98" s="1314"/>
      <c r="G98" s="1315"/>
      <c r="J98" s="1247"/>
      <c r="K98" s="1247"/>
      <c r="L98" s="1247"/>
      <c r="M98" s="1247"/>
      <c r="N98" s="1247"/>
      <c r="O98" s="1247"/>
      <c r="P98" s="1247"/>
    </row>
    <row r="99" spans="2:16" ht="58.5" customHeight="1" x14ac:dyDescent="0.25">
      <c r="C99" s="1310" t="s">
        <v>5098</v>
      </c>
      <c r="D99" s="1321"/>
      <c r="E99" s="1321"/>
      <c r="F99" s="1321"/>
      <c r="G99" s="1322"/>
      <c r="J99" s="1247"/>
      <c r="K99" s="1247"/>
      <c r="L99" s="1247"/>
      <c r="M99" s="1247"/>
      <c r="N99" s="1247"/>
      <c r="O99" s="1247"/>
      <c r="P99" s="1247"/>
    </row>
    <row r="100" spans="2:16" x14ac:dyDescent="0.2">
      <c r="J100" s="1247"/>
      <c r="K100" s="1247"/>
      <c r="L100" s="1247"/>
      <c r="M100" s="1247"/>
      <c r="N100" s="1247"/>
      <c r="O100" s="1247"/>
      <c r="P100" s="1247"/>
    </row>
    <row r="101" spans="2:16" x14ac:dyDescent="0.2">
      <c r="C101" s="191" t="s">
        <v>4142</v>
      </c>
      <c r="D101" s="702">
        <f>'Budget &amp; Costs'!S408</f>
        <v>0</v>
      </c>
      <c r="J101" s="1247"/>
      <c r="K101" s="1247"/>
      <c r="L101" s="1247"/>
      <c r="M101" s="1247"/>
      <c r="N101" s="1247"/>
      <c r="O101" s="1247"/>
      <c r="P101" s="1247"/>
    </row>
    <row r="102" spans="2:16" x14ac:dyDescent="0.2">
      <c r="C102" s="191" t="s">
        <v>4751</v>
      </c>
      <c r="D102" s="859">
        <f>SUM(D107:D115)</f>
        <v>0</v>
      </c>
      <c r="E102" s="377" t="s">
        <v>4793</v>
      </c>
      <c r="J102" s="1247"/>
      <c r="K102" s="1247"/>
      <c r="L102" s="1247"/>
      <c r="M102" s="1247"/>
      <c r="N102" s="1247"/>
      <c r="O102" s="1247"/>
      <c r="P102" s="1247"/>
    </row>
    <row r="103" spans="2:16" x14ac:dyDescent="0.2">
      <c r="C103" s="191" t="s">
        <v>4752</v>
      </c>
      <c r="D103" s="710">
        <f>IFERROR(D102/D101,0)</f>
        <v>0</v>
      </c>
      <c r="J103" s="1247"/>
      <c r="K103" s="1247"/>
      <c r="L103" s="1247"/>
      <c r="M103" s="1247"/>
      <c r="N103" s="1247"/>
      <c r="O103" s="1247"/>
      <c r="P103" s="1247"/>
    </row>
    <row r="104" spans="2:16" x14ac:dyDescent="0.2">
      <c r="C104" s="21"/>
      <c r="D104" s="5"/>
      <c r="J104" s="1247"/>
      <c r="K104" s="1247"/>
      <c r="L104" s="1247"/>
      <c r="M104" s="1247"/>
      <c r="N104" s="1247"/>
      <c r="O104" s="1247"/>
      <c r="P104" s="1247"/>
    </row>
    <row r="105" spans="2:16" x14ac:dyDescent="0.2">
      <c r="C105" t="s">
        <v>5073</v>
      </c>
      <c r="D105" s="5"/>
      <c r="J105" s="1247"/>
      <c r="K105" s="1247"/>
      <c r="L105" s="1247"/>
      <c r="M105" s="1247"/>
      <c r="N105" s="1247"/>
      <c r="O105" s="1247"/>
      <c r="P105" s="1247"/>
    </row>
    <row r="106" spans="2:16" x14ac:dyDescent="0.2">
      <c r="C106" s="377" t="s">
        <v>3239</v>
      </c>
      <c r="D106" s="662" t="s">
        <v>3333</v>
      </c>
      <c r="E106" s="377" t="s">
        <v>5063</v>
      </c>
      <c r="F106" s="5"/>
      <c r="G106" s="5"/>
      <c r="J106" s="1247"/>
      <c r="K106" s="1247"/>
      <c r="L106" s="1247"/>
      <c r="M106" s="1247"/>
      <c r="N106" s="1247"/>
      <c r="O106" s="1247"/>
      <c r="P106" s="1247"/>
    </row>
    <row r="107" spans="2:16" x14ac:dyDescent="0.2">
      <c r="C107" s="693"/>
      <c r="D107" s="694"/>
      <c r="E107" s="1323"/>
      <c r="F107" s="1324"/>
      <c r="G107" s="5"/>
      <c r="J107" s="1247"/>
      <c r="K107" s="1247"/>
      <c r="L107" s="1247"/>
      <c r="M107" s="1247"/>
      <c r="N107" s="1247"/>
      <c r="O107" s="1247"/>
      <c r="P107" s="1247"/>
    </row>
    <row r="108" spans="2:16" x14ac:dyDescent="0.2">
      <c r="C108" s="693"/>
      <c r="D108" s="694"/>
      <c r="E108" s="1323"/>
      <c r="F108" s="1324"/>
      <c r="G108" s="5"/>
      <c r="J108" s="1247"/>
      <c r="K108" s="1247"/>
      <c r="L108" s="1247"/>
      <c r="M108" s="1247"/>
      <c r="N108" s="1247"/>
      <c r="O108" s="1247"/>
      <c r="P108" s="1247"/>
    </row>
    <row r="109" spans="2:16" x14ac:dyDescent="0.2">
      <c r="C109" s="693"/>
      <c r="D109" s="694"/>
      <c r="E109" s="1323"/>
      <c r="F109" s="1324"/>
      <c r="G109" s="5"/>
      <c r="J109" s="1247"/>
      <c r="K109" s="1247"/>
      <c r="L109" s="1247"/>
      <c r="M109" s="1247"/>
      <c r="N109" s="1247"/>
      <c r="O109" s="1247"/>
      <c r="P109" s="1247"/>
    </row>
    <row r="110" spans="2:16" x14ac:dyDescent="0.2">
      <c r="C110" s="693"/>
      <c r="D110" s="694"/>
      <c r="E110" s="1323"/>
      <c r="F110" s="1324"/>
      <c r="G110" s="5"/>
      <c r="J110" s="1247"/>
      <c r="K110" s="1247"/>
      <c r="L110" s="1247"/>
      <c r="M110" s="1247"/>
      <c r="N110" s="1247"/>
      <c r="O110" s="1247"/>
      <c r="P110" s="1247"/>
    </row>
    <row r="111" spans="2:16" x14ac:dyDescent="0.2">
      <c r="C111" s="693"/>
      <c r="D111" s="694"/>
      <c r="E111" s="1323"/>
      <c r="F111" s="1324"/>
      <c r="G111" s="5"/>
      <c r="J111" s="1247"/>
      <c r="K111" s="1247"/>
      <c r="L111" s="1247"/>
      <c r="M111" s="1247"/>
      <c r="N111" s="1247"/>
      <c r="O111" s="1247"/>
      <c r="P111" s="1247"/>
    </row>
    <row r="112" spans="2:16" x14ac:dyDescent="0.2">
      <c r="C112" s="693"/>
      <c r="D112" s="694"/>
      <c r="E112" s="1323"/>
      <c r="F112" s="1324"/>
      <c r="G112" s="5"/>
      <c r="J112" s="1247"/>
      <c r="K112" s="1247"/>
      <c r="L112" s="1247"/>
      <c r="M112" s="1247"/>
      <c r="N112" s="1247"/>
      <c r="O112" s="1247"/>
      <c r="P112" s="1247"/>
    </row>
    <row r="113" spans="2:16" x14ac:dyDescent="0.2">
      <c r="C113" s="693"/>
      <c r="D113" s="694"/>
      <c r="E113" s="1323"/>
      <c r="F113" s="1324"/>
      <c r="G113" s="5"/>
      <c r="J113" s="1247"/>
      <c r="K113" s="1247"/>
      <c r="L113" s="1247"/>
      <c r="M113" s="1247"/>
      <c r="N113" s="1247"/>
      <c r="O113" s="1247"/>
      <c r="P113" s="1247"/>
    </row>
    <row r="114" spans="2:16" x14ac:dyDescent="0.2">
      <c r="C114" s="693"/>
      <c r="D114" s="694"/>
      <c r="E114" s="1323"/>
      <c r="F114" s="1324"/>
      <c r="G114" s="5"/>
      <c r="J114" s="1247"/>
      <c r="K114" s="1247"/>
      <c r="L114" s="1247"/>
      <c r="M114" s="1247"/>
      <c r="N114" s="1247"/>
      <c r="O114" s="1247"/>
      <c r="P114" s="1247"/>
    </row>
    <row r="115" spans="2:16" x14ac:dyDescent="0.2">
      <c r="C115" s="693"/>
      <c r="D115" s="694"/>
      <c r="E115" s="1323"/>
      <c r="F115" s="1324"/>
      <c r="G115" s="5"/>
      <c r="J115" s="1247"/>
      <c r="K115" s="1247"/>
      <c r="L115" s="1247"/>
      <c r="M115" s="1247"/>
      <c r="N115" s="1247"/>
      <c r="O115" s="1247"/>
      <c r="P115" s="1247"/>
    </row>
    <row r="116" spans="2:16" x14ac:dyDescent="0.2">
      <c r="D116" s="695"/>
      <c r="G116" s="695"/>
      <c r="J116" s="1247"/>
      <c r="K116" s="1247"/>
      <c r="L116" s="1247"/>
      <c r="M116" s="1247"/>
      <c r="N116" s="1247"/>
      <c r="O116" s="1247"/>
      <c r="P116" s="1247"/>
    </row>
    <row r="117" spans="2:16" x14ac:dyDescent="0.2">
      <c r="D117" s="695"/>
      <c r="G117" s="695"/>
      <c r="I117" s="191" t="s">
        <v>4768</v>
      </c>
      <c r="J117" s="689"/>
      <c r="K117" s="689"/>
      <c r="L117" s="689"/>
      <c r="M117" s="689"/>
      <c r="N117" s="689"/>
      <c r="O117" s="689"/>
      <c r="P117" s="689"/>
    </row>
    <row r="118" spans="2:16" ht="14.25" customHeight="1" x14ac:dyDescent="0.2">
      <c r="B118" s="701">
        <f>MAX(B121,B131,B138)</f>
        <v>0</v>
      </c>
      <c r="C118" s="1330" t="s">
        <v>4769</v>
      </c>
      <c r="D118" s="1331"/>
      <c r="E118" s="1331"/>
      <c r="F118" s="1331"/>
      <c r="G118" s="692"/>
      <c r="I118" s="376"/>
      <c r="J118" s="1247"/>
      <c r="K118" s="1247"/>
      <c r="L118" s="1247"/>
      <c r="M118" s="1247"/>
      <c r="N118" s="1247"/>
      <c r="O118" s="1247"/>
      <c r="P118" s="1247"/>
    </row>
    <row r="119" spans="2:16" x14ac:dyDescent="0.2">
      <c r="B119"/>
      <c r="C119" s="1332" t="s">
        <v>4770</v>
      </c>
      <c r="D119" s="1333"/>
      <c r="E119" s="1333"/>
      <c r="F119" s="1333"/>
      <c r="G119" s="1334"/>
      <c r="I119"/>
      <c r="J119" s="1247"/>
      <c r="K119" s="1247"/>
      <c r="L119" s="1247"/>
      <c r="M119" s="1247"/>
      <c r="N119" s="1247"/>
      <c r="O119" s="1247"/>
      <c r="P119" s="1247"/>
    </row>
    <row r="120" spans="2:16" x14ac:dyDescent="0.2">
      <c r="J120" s="1247"/>
      <c r="K120" s="1247"/>
      <c r="L120" s="1247"/>
      <c r="M120" s="1247"/>
      <c r="N120" s="1247"/>
      <c r="O120" s="1247"/>
      <c r="P120" s="1247"/>
    </row>
    <row r="121" spans="2:16" ht="15" x14ac:dyDescent="0.25">
      <c r="B121" s="190"/>
      <c r="C121" s="878" t="s">
        <v>4771</v>
      </c>
      <c r="D121" s="879"/>
      <c r="E121" s="879"/>
      <c r="F121" s="879"/>
      <c r="G121" s="879"/>
      <c r="I121" s="376"/>
      <c r="J121" s="1247"/>
      <c r="K121" s="1247"/>
      <c r="L121" s="1247"/>
      <c r="M121" s="1247"/>
      <c r="N121" s="1247"/>
      <c r="O121" s="1247"/>
      <c r="P121" s="1247"/>
    </row>
    <row r="122" spans="2:16" x14ac:dyDescent="0.2">
      <c r="C122" s="879" t="s">
        <v>4772</v>
      </c>
      <c r="D122" s="879"/>
      <c r="E122" s="879"/>
      <c r="F122" s="879"/>
      <c r="G122" s="879"/>
      <c r="J122" s="1247"/>
      <c r="K122" s="1247"/>
      <c r="L122" s="1247"/>
      <c r="M122" s="1247"/>
      <c r="N122" s="1247"/>
      <c r="O122" s="1247"/>
      <c r="P122" s="1247"/>
    </row>
    <row r="123" spans="2:16" x14ac:dyDescent="0.2">
      <c r="C123" s="1335" t="s">
        <v>4773</v>
      </c>
      <c r="D123" s="1335"/>
      <c r="E123" s="1335"/>
      <c r="F123" s="1335"/>
      <c r="G123" s="1335"/>
      <c r="J123" s="1247"/>
      <c r="K123" s="1247"/>
      <c r="L123" s="1247"/>
      <c r="M123" s="1247"/>
      <c r="N123" s="1247"/>
      <c r="O123" s="1247"/>
      <c r="P123" s="1247"/>
    </row>
    <row r="124" spans="2:16" ht="29.25" customHeight="1" x14ac:dyDescent="0.2">
      <c r="C124" s="1335" t="s">
        <v>4774</v>
      </c>
      <c r="D124" s="1335"/>
      <c r="E124" s="1335"/>
      <c r="F124" s="1335"/>
      <c r="G124" s="1335"/>
      <c r="J124" s="1247"/>
      <c r="K124" s="1247"/>
      <c r="L124" s="1247"/>
      <c r="M124" s="1247"/>
      <c r="N124" s="1247"/>
      <c r="O124" s="1247"/>
      <c r="P124" s="1247"/>
    </row>
    <row r="125" spans="2:16" x14ac:dyDescent="0.2">
      <c r="C125" s="1335" t="s">
        <v>4775</v>
      </c>
      <c r="D125" s="1335"/>
      <c r="E125" s="1335"/>
      <c r="F125" s="1335"/>
      <c r="G125" s="1335"/>
      <c r="J125" s="1247"/>
      <c r="K125" s="1247"/>
      <c r="L125" s="1247"/>
      <c r="M125" s="1247"/>
      <c r="N125" s="1247"/>
      <c r="O125" s="1247"/>
      <c r="P125" s="1247"/>
    </row>
    <row r="126" spans="2:16" x14ac:dyDescent="0.2">
      <c r="C126" s="879"/>
      <c r="D126" s="879"/>
      <c r="E126" s="879"/>
      <c r="F126" s="879"/>
      <c r="G126" s="879"/>
      <c r="J126" s="1247"/>
      <c r="K126" s="1247"/>
      <c r="L126" s="1247"/>
      <c r="M126" s="1247"/>
      <c r="N126" s="1247"/>
      <c r="O126" s="1247"/>
      <c r="P126" s="1247"/>
    </row>
    <row r="127" spans="2:16" x14ac:dyDescent="0.2">
      <c r="C127" s="880" t="s">
        <v>4776</v>
      </c>
      <c r="D127" s="879"/>
      <c r="E127" s="879"/>
      <c r="F127" s="879"/>
      <c r="G127" s="879"/>
      <c r="J127" s="1247"/>
      <c r="K127" s="1247"/>
      <c r="L127" s="1247"/>
      <c r="M127" s="1247"/>
      <c r="N127" s="1247"/>
      <c r="O127" s="1247"/>
      <c r="P127" s="1247"/>
    </row>
    <row r="128" spans="2:16" x14ac:dyDescent="0.2">
      <c r="C128" s="1335" t="s">
        <v>5079</v>
      </c>
      <c r="D128" s="1335"/>
      <c r="E128" s="1335"/>
      <c r="F128" s="1335"/>
      <c r="G128" s="1335"/>
      <c r="J128" s="1247"/>
      <c r="K128" s="1247"/>
      <c r="L128" s="1247"/>
      <c r="M128" s="1247"/>
      <c r="N128" s="1247"/>
      <c r="O128" s="1247"/>
      <c r="P128" s="1247"/>
    </row>
    <row r="129" spans="2:16" ht="32.25" customHeight="1" x14ac:dyDescent="0.2">
      <c r="C129" s="1335"/>
      <c r="D129" s="1335"/>
      <c r="E129" s="1335"/>
      <c r="F129" s="1335"/>
      <c r="G129" s="1335"/>
      <c r="J129" s="1247"/>
      <c r="K129" s="1247"/>
      <c r="L129" s="1247"/>
      <c r="M129" s="1247"/>
      <c r="N129" s="1247"/>
      <c r="O129" s="1247"/>
      <c r="P129" s="1247"/>
    </row>
    <row r="130" spans="2:16" x14ac:dyDescent="0.2">
      <c r="J130" s="1247"/>
      <c r="K130" s="1247"/>
      <c r="L130" s="1247"/>
      <c r="M130" s="1247"/>
      <c r="N130" s="1247"/>
      <c r="O130" s="1247"/>
      <c r="P130" s="1247"/>
    </row>
    <row r="131" spans="2:16" ht="15" x14ac:dyDescent="0.25">
      <c r="B131" s="190"/>
      <c r="C131" s="878" t="s">
        <v>4777</v>
      </c>
      <c r="D131" s="879"/>
      <c r="E131" s="879"/>
      <c r="F131" s="879"/>
      <c r="G131" s="879"/>
      <c r="I131" s="376"/>
      <c r="J131" s="1247"/>
      <c r="K131" s="1247"/>
      <c r="L131" s="1247"/>
      <c r="M131" s="1247"/>
      <c r="N131" s="1247"/>
      <c r="O131" s="1247"/>
      <c r="P131" s="1247"/>
    </row>
    <row r="132" spans="2:16" ht="45" customHeight="1" x14ac:dyDescent="0.2">
      <c r="C132" s="1335" t="s">
        <v>4778</v>
      </c>
      <c r="D132" s="1335"/>
      <c r="E132" s="1335"/>
      <c r="F132" s="1335"/>
      <c r="G132" s="1335"/>
      <c r="J132" s="1247"/>
      <c r="K132" s="1247"/>
      <c r="L132" s="1247"/>
      <c r="M132" s="1247"/>
      <c r="N132" s="1247"/>
      <c r="O132" s="1247"/>
      <c r="P132" s="1247"/>
    </row>
    <row r="133" spans="2:16" x14ac:dyDescent="0.2">
      <c r="C133" s="881"/>
      <c r="D133" s="881"/>
      <c r="E133" s="881"/>
      <c r="F133" s="881"/>
      <c r="G133" s="881"/>
      <c r="J133" s="1247"/>
      <c r="K133" s="1247"/>
      <c r="L133" s="1247"/>
      <c r="M133" s="1247"/>
      <c r="N133" s="1247"/>
      <c r="O133" s="1247"/>
      <c r="P133" s="1247"/>
    </row>
    <row r="134" spans="2:16" x14ac:dyDescent="0.2">
      <c r="C134" s="880" t="s">
        <v>4776</v>
      </c>
      <c r="D134" s="879"/>
      <c r="E134" s="879"/>
      <c r="F134" s="879"/>
      <c r="G134" s="879"/>
      <c r="J134" s="1247"/>
      <c r="K134" s="1247"/>
      <c r="L134" s="1247"/>
      <c r="M134" s="1247"/>
      <c r="N134" s="1247"/>
      <c r="O134" s="1247"/>
      <c r="P134" s="1247"/>
    </row>
    <row r="135" spans="2:16" x14ac:dyDescent="0.2">
      <c r="C135" s="1335" t="s">
        <v>4779</v>
      </c>
      <c r="D135" s="1335"/>
      <c r="E135" s="1335"/>
      <c r="F135" s="1335"/>
      <c r="G135" s="1335"/>
      <c r="J135" s="1247"/>
      <c r="K135" s="1247"/>
      <c r="L135" s="1247"/>
      <c r="M135" s="1247"/>
      <c r="N135" s="1247"/>
      <c r="O135" s="1247"/>
      <c r="P135" s="1247"/>
    </row>
    <row r="136" spans="2:16" ht="33.75" customHeight="1" x14ac:dyDescent="0.2">
      <c r="C136" s="1335"/>
      <c r="D136" s="1335"/>
      <c r="E136" s="1335"/>
      <c r="F136" s="1335"/>
      <c r="G136" s="1335"/>
      <c r="J136" s="1247"/>
      <c r="K136" s="1247"/>
      <c r="L136" s="1247"/>
      <c r="M136" s="1247"/>
      <c r="N136" s="1247"/>
      <c r="O136" s="1247"/>
      <c r="P136" s="1247"/>
    </row>
    <row r="137" spans="2:16" x14ac:dyDescent="0.2">
      <c r="J137" s="1247"/>
      <c r="K137" s="1247"/>
      <c r="L137" s="1247"/>
      <c r="M137" s="1247"/>
      <c r="N137" s="1247"/>
      <c r="O137" s="1247"/>
      <c r="P137" s="1247"/>
    </row>
    <row r="138" spans="2:16" ht="15" x14ac:dyDescent="0.25">
      <c r="B138" s="190"/>
      <c r="C138" s="878" t="s">
        <v>4780</v>
      </c>
      <c r="D138" s="879"/>
      <c r="E138" s="879"/>
      <c r="F138" s="879"/>
      <c r="G138" s="879"/>
      <c r="I138" s="376"/>
      <c r="J138" s="1247"/>
      <c r="K138" s="1247"/>
      <c r="L138" s="1247"/>
      <c r="M138" s="1247"/>
      <c r="N138" s="1247"/>
      <c r="O138" s="1247"/>
      <c r="P138" s="1247"/>
    </row>
    <row r="139" spans="2:16" ht="33.75" customHeight="1" x14ac:dyDescent="0.2">
      <c r="C139" s="1335" t="s">
        <v>5075</v>
      </c>
      <c r="D139" s="1335"/>
      <c r="E139" s="1335"/>
      <c r="F139" s="1335"/>
      <c r="G139" s="1335"/>
      <c r="J139" s="1247"/>
      <c r="K139" s="1247"/>
      <c r="L139" s="1247"/>
      <c r="M139" s="1247"/>
      <c r="N139" s="1247"/>
      <c r="O139" s="1247"/>
      <c r="P139" s="1247"/>
    </row>
    <row r="140" spans="2:16" x14ac:dyDescent="0.2">
      <c r="C140" s="1335" t="s">
        <v>4781</v>
      </c>
      <c r="D140" s="1335"/>
      <c r="E140" s="1335"/>
      <c r="F140" s="1335"/>
      <c r="G140" s="1335"/>
      <c r="J140" s="1247"/>
      <c r="K140" s="1247"/>
      <c r="L140" s="1247"/>
      <c r="M140" s="1247"/>
      <c r="N140" s="1247"/>
      <c r="O140" s="1247"/>
      <c r="P140" s="1247"/>
    </row>
    <row r="141" spans="2:16" x14ac:dyDescent="0.2">
      <c r="C141" s="879"/>
      <c r="D141" s="879"/>
      <c r="E141" s="879"/>
      <c r="F141" s="879"/>
      <c r="G141" s="879"/>
      <c r="J141" s="1247"/>
      <c r="K141" s="1247"/>
      <c r="L141" s="1247"/>
      <c r="M141" s="1247"/>
      <c r="N141" s="1247"/>
      <c r="O141" s="1247"/>
      <c r="P141" s="1247"/>
    </row>
    <row r="142" spans="2:16" x14ac:dyDescent="0.2">
      <c r="C142" s="880" t="s">
        <v>4776</v>
      </c>
      <c r="D142" s="879"/>
      <c r="E142" s="879"/>
      <c r="F142" s="879"/>
      <c r="G142" s="879"/>
      <c r="J142" s="1247"/>
      <c r="K142" s="1247"/>
      <c r="L142" s="1247"/>
      <c r="M142" s="1247"/>
      <c r="N142" s="1247"/>
      <c r="O142" s="1247"/>
      <c r="P142" s="1247"/>
    </row>
    <row r="143" spans="2:16" x14ac:dyDescent="0.2">
      <c r="C143" s="1335" t="s">
        <v>5074</v>
      </c>
      <c r="D143" s="1335"/>
      <c r="E143" s="1335"/>
      <c r="F143" s="1335"/>
      <c r="G143" s="1335"/>
      <c r="J143" s="1247"/>
      <c r="K143" s="1247"/>
      <c r="L143" s="1247"/>
      <c r="M143" s="1247"/>
      <c r="N143" s="1247"/>
      <c r="O143" s="1247"/>
      <c r="P143" s="1247"/>
    </row>
    <row r="144" spans="2:16" ht="18" customHeight="1" x14ac:dyDescent="0.2">
      <c r="C144" s="1335"/>
      <c r="D144" s="1335"/>
      <c r="E144" s="1335"/>
      <c r="F144" s="1335"/>
      <c r="G144" s="1335"/>
      <c r="J144" s="1247"/>
      <c r="K144" s="1247"/>
      <c r="L144" s="1247"/>
      <c r="M144" s="1247"/>
      <c r="N144" s="1247"/>
      <c r="O144" s="1247"/>
      <c r="P144" s="1247"/>
    </row>
    <row r="145" spans="2:16" ht="44.25" customHeight="1" x14ac:dyDescent="0.2">
      <c r="C145" s="1335" t="s">
        <v>5104</v>
      </c>
      <c r="D145" s="1335"/>
      <c r="E145" s="1335"/>
      <c r="F145" s="1335"/>
      <c r="G145" s="1335"/>
      <c r="J145" s="1247"/>
      <c r="K145" s="1247"/>
      <c r="L145" s="1247"/>
      <c r="M145" s="1247"/>
      <c r="N145" s="1247"/>
      <c r="O145" s="1247"/>
      <c r="P145" s="1247"/>
    </row>
    <row r="146" spans="2:16" x14ac:dyDescent="0.2">
      <c r="J146" s="1247"/>
      <c r="K146" s="1247"/>
      <c r="L146" s="1247"/>
      <c r="M146" s="1247"/>
      <c r="N146" s="1247"/>
      <c r="O146" s="1247"/>
      <c r="P146" s="1247"/>
    </row>
    <row r="147" spans="2:16" x14ac:dyDescent="0.2">
      <c r="C147" s="857" t="s">
        <v>5078</v>
      </c>
      <c r="D147" s="857" t="s">
        <v>5076</v>
      </c>
      <c r="E147" s="857" t="s">
        <v>5077</v>
      </c>
      <c r="G147" s="697" t="s">
        <v>4782</v>
      </c>
      <c r="J147" s="1247"/>
      <c r="K147" s="1247"/>
      <c r="L147" s="1247"/>
      <c r="M147" s="1247"/>
      <c r="N147" s="1247"/>
      <c r="O147" s="1247"/>
      <c r="P147" s="1247"/>
    </row>
    <row r="148" spans="2:16" x14ac:dyDescent="0.2">
      <c r="C148" s="703"/>
      <c r="D148" s="703"/>
      <c r="E148" s="1336"/>
      <c r="F148" s="1337"/>
      <c r="G148" s="703"/>
      <c r="J148" s="1247"/>
      <c r="K148" s="1247"/>
      <c r="L148" s="1247"/>
      <c r="M148" s="1247"/>
      <c r="N148" s="1247"/>
      <c r="O148" s="1247"/>
      <c r="P148" s="1247"/>
    </row>
    <row r="149" spans="2:16" x14ac:dyDescent="0.2">
      <c r="C149" s="703"/>
      <c r="D149" s="703"/>
      <c r="E149" s="1336"/>
      <c r="F149" s="1337"/>
      <c r="G149" s="703"/>
      <c r="J149" s="1247"/>
      <c r="K149" s="1247"/>
      <c r="L149" s="1247"/>
      <c r="M149" s="1247"/>
      <c r="N149" s="1247"/>
      <c r="O149" s="1247"/>
      <c r="P149" s="1247"/>
    </row>
    <row r="150" spans="2:16" x14ac:dyDescent="0.2">
      <c r="C150" s="703"/>
      <c r="D150" s="703"/>
      <c r="E150" s="1336"/>
      <c r="F150" s="1337"/>
      <c r="G150" s="703"/>
      <c r="J150" s="1247"/>
      <c r="K150" s="1247"/>
      <c r="L150" s="1247"/>
      <c r="M150" s="1247"/>
      <c r="N150" s="1247"/>
      <c r="O150" s="1247"/>
      <c r="P150" s="1247"/>
    </row>
    <row r="151" spans="2:16" x14ac:dyDescent="0.2">
      <c r="B151" s="5"/>
      <c r="C151" s="5"/>
      <c r="D151" s="5"/>
      <c r="E151" s="5"/>
      <c r="F151" s="5"/>
      <c r="G151" s="5"/>
      <c r="J151" s="1247"/>
      <c r="K151" s="1247"/>
      <c r="L151" s="1247"/>
      <c r="M151" s="1247"/>
      <c r="N151" s="1247"/>
      <c r="O151" s="1247"/>
      <c r="P151" s="1247"/>
    </row>
    <row r="152" spans="2:16" x14ac:dyDescent="0.2">
      <c r="B152" s="5"/>
      <c r="D152" s="5"/>
      <c r="I152" s="191" t="s">
        <v>4783</v>
      </c>
      <c r="J152" s="689"/>
      <c r="K152" s="689"/>
      <c r="L152" s="689"/>
      <c r="M152" s="689"/>
      <c r="N152" s="689"/>
      <c r="O152" s="689"/>
      <c r="P152" s="689"/>
    </row>
    <row r="153" spans="2:16" ht="14.25" customHeight="1" x14ac:dyDescent="0.2">
      <c r="B153" s="701">
        <f>IFERROR(MAX(D160,D161),0)</f>
        <v>0</v>
      </c>
      <c r="C153" s="1298" t="s">
        <v>4784</v>
      </c>
      <c r="D153" s="1299"/>
      <c r="E153" s="1299"/>
      <c r="F153" s="1299"/>
      <c r="G153" s="875"/>
      <c r="I153" s="376"/>
      <c r="J153" s="1247"/>
      <c r="K153" s="1247"/>
      <c r="L153" s="1247"/>
      <c r="M153" s="1247"/>
      <c r="N153" s="1247"/>
      <c r="O153" s="1247"/>
      <c r="P153" s="1247"/>
    </row>
    <row r="154" spans="2:16" ht="60.75" customHeight="1" x14ac:dyDescent="0.2">
      <c r="B154"/>
      <c r="C154" s="1313" t="s">
        <v>5080</v>
      </c>
      <c r="D154" s="1314"/>
      <c r="E154" s="1314"/>
      <c r="F154" s="1314"/>
      <c r="G154" s="1315"/>
      <c r="I154"/>
      <c r="J154" s="1247"/>
      <c r="K154" s="1247"/>
      <c r="L154" s="1247"/>
      <c r="M154" s="1247"/>
      <c r="N154" s="1247"/>
      <c r="O154" s="1247"/>
      <c r="P154" s="1247"/>
    </row>
    <row r="155" spans="2:16" ht="90.75" customHeight="1" x14ac:dyDescent="0.25">
      <c r="C155" s="1310" t="s">
        <v>5081</v>
      </c>
      <c r="D155" s="1321"/>
      <c r="E155" s="1321"/>
      <c r="F155" s="1321"/>
      <c r="G155" s="1322"/>
      <c r="J155" s="1247"/>
      <c r="K155" s="1247"/>
      <c r="L155" s="1247"/>
      <c r="M155" s="1247"/>
      <c r="N155" s="1247"/>
      <c r="O155" s="1247"/>
      <c r="P155" s="1247"/>
    </row>
    <row r="156" spans="2:16" x14ac:dyDescent="0.2">
      <c r="J156" s="1247"/>
      <c r="K156" s="1247"/>
      <c r="L156" s="1247"/>
      <c r="M156" s="1247"/>
      <c r="N156" s="1247"/>
      <c r="O156" s="1247"/>
      <c r="P156" s="1247"/>
    </row>
    <row r="157" spans="2:16" x14ac:dyDescent="0.2">
      <c r="C157" s="697" t="s">
        <v>4785</v>
      </c>
      <c r="D157" s="702">
        <f>'Budget &amp; Costs'!F363</f>
        <v>0</v>
      </c>
      <c r="J157" s="1247"/>
      <c r="K157" s="1247"/>
      <c r="L157" s="1247"/>
      <c r="M157" s="1247"/>
      <c r="N157" s="1247"/>
      <c r="O157" s="1247"/>
      <c r="P157" s="1247"/>
    </row>
    <row r="158" spans="2:16" x14ac:dyDescent="0.2">
      <c r="C158" s="191" t="s">
        <v>3621</v>
      </c>
      <c r="D158" s="684">
        <f>G8</f>
        <v>0</v>
      </c>
      <c r="J158" s="1247"/>
      <c r="K158" s="1247"/>
      <c r="L158" s="1247"/>
      <c r="M158" s="1247"/>
      <c r="N158" s="1247"/>
      <c r="O158" s="1247"/>
      <c r="P158" s="1247"/>
    </row>
    <row r="159" spans="2:16" x14ac:dyDescent="0.2">
      <c r="C159" s="191" t="s">
        <v>4786</v>
      </c>
      <c r="D159" s="684">
        <f>IFERROR(D157/D158,0)</f>
        <v>0</v>
      </c>
      <c r="J159" s="1247"/>
      <c r="K159" s="1247"/>
      <c r="L159" s="1247"/>
      <c r="M159" s="1247"/>
      <c r="N159" s="1247"/>
      <c r="O159" s="1247"/>
      <c r="P159" s="1247"/>
    </row>
    <row r="160" spans="2:16" x14ac:dyDescent="0.2">
      <c r="B160" s="5"/>
      <c r="C160" s="191" t="s">
        <v>4787</v>
      </c>
      <c r="D160" s="684">
        <f>IF(D159&gt;=38000,3,IF(D159&gt;=40001,4,IF(D159&gt;=45001,5,0)))</f>
        <v>0</v>
      </c>
      <c r="J160" s="1247"/>
      <c r="K160" s="1247"/>
      <c r="L160" s="1247"/>
      <c r="M160" s="1247"/>
      <c r="N160" s="1247"/>
      <c r="O160" s="1247"/>
      <c r="P160" s="1247"/>
    </row>
    <row r="161" spans="2:16" x14ac:dyDescent="0.2">
      <c r="B161" s="5"/>
      <c r="C161" s="191" t="s">
        <v>4788</v>
      </c>
      <c r="D161" s="684">
        <f>IF('Project Details'!C31="New Construction",5,0)</f>
        <v>0</v>
      </c>
      <c r="J161" s="1247"/>
      <c r="K161" s="1247"/>
      <c r="L161" s="1247"/>
      <c r="M161" s="1247"/>
      <c r="N161" s="1247"/>
      <c r="O161" s="1247"/>
      <c r="P161" s="1247"/>
    </row>
    <row r="162" spans="2:16" x14ac:dyDescent="0.2">
      <c r="B162" s="5"/>
      <c r="D162"/>
      <c r="J162" s="1247"/>
      <c r="K162" s="1247"/>
      <c r="L162" s="1247"/>
      <c r="M162" s="1247"/>
      <c r="N162" s="1247"/>
      <c r="O162" s="1247"/>
      <c r="P162" s="1247"/>
    </row>
    <row r="163" spans="2:16" x14ac:dyDescent="0.2">
      <c r="B163" s="5"/>
      <c r="C163" s="857" t="s">
        <v>5078</v>
      </c>
      <c r="D163" s="857" t="s">
        <v>5076</v>
      </c>
      <c r="E163" s="857" t="s">
        <v>5077</v>
      </c>
      <c r="G163" s="697" t="s">
        <v>4782</v>
      </c>
      <c r="J163" s="1247"/>
      <c r="K163" s="1247"/>
      <c r="L163" s="1247"/>
      <c r="M163" s="1247"/>
      <c r="N163" s="1247"/>
      <c r="O163" s="1247"/>
      <c r="P163" s="1247"/>
    </row>
    <row r="164" spans="2:16" x14ac:dyDescent="0.2">
      <c r="B164" s="5"/>
      <c r="C164" s="703"/>
      <c r="D164" s="703"/>
      <c r="E164" s="1336"/>
      <c r="F164" s="1337"/>
      <c r="G164" s="703"/>
      <c r="J164" s="1247"/>
      <c r="K164" s="1247"/>
      <c r="L164" s="1247"/>
      <c r="M164" s="1247"/>
      <c r="N164" s="1247"/>
      <c r="O164" s="1247"/>
      <c r="P164" s="1247"/>
    </row>
    <row r="165" spans="2:16" x14ac:dyDescent="0.2">
      <c r="B165" s="5"/>
      <c r="C165" s="703"/>
      <c r="D165" s="703"/>
      <c r="E165" s="1336"/>
      <c r="F165" s="1337"/>
      <c r="G165" s="703"/>
      <c r="J165" s="1247"/>
      <c r="K165" s="1247"/>
      <c r="L165" s="1247"/>
      <c r="M165" s="1247"/>
      <c r="N165" s="1247"/>
      <c r="O165" s="1247"/>
      <c r="P165" s="1247"/>
    </row>
    <row r="166" spans="2:16" x14ac:dyDescent="0.2">
      <c r="B166" s="5"/>
      <c r="C166" s="703"/>
      <c r="D166" s="703"/>
      <c r="E166" s="1336"/>
      <c r="F166" s="1337"/>
      <c r="G166" s="703"/>
      <c r="J166" s="1247"/>
      <c r="K166" s="1247"/>
      <c r="L166" s="1247"/>
      <c r="M166" s="1247"/>
      <c r="N166" s="1247"/>
      <c r="O166" s="1247"/>
      <c r="P166" s="1247"/>
    </row>
    <row r="167" spans="2:16" x14ac:dyDescent="0.2">
      <c r="B167" s="5"/>
      <c r="J167" s="1247"/>
      <c r="K167" s="1247"/>
      <c r="L167" s="1247"/>
      <c r="M167" s="1247"/>
      <c r="N167" s="1247"/>
      <c r="O167" s="1247"/>
      <c r="P167" s="1247"/>
    </row>
    <row r="168" spans="2:16" x14ac:dyDescent="0.2">
      <c r="I168" s="191" t="s">
        <v>4753</v>
      </c>
      <c r="J168" s="689"/>
      <c r="K168" s="689"/>
      <c r="L168" s="689"/>
      <c r="M168" s="689"/>
      <c r="N168" s="689"/>
      <c r="O168" s="689"/>
      <c r="P168" s="689"/>
    </row>
    <row r="169" spans="2:16" ht="14.25" customHeight="1" x14ac:dyDescent="0.2">
      <c r="B169" s="701">
        <f>IF(D180&gt;=5,5,D180)</f>
        <v>0</v>
      </c>
      <c r="C169" s="1298" t="s">
        <v>4754</v>
      </c>
      <c r="D169" s="1299"/>
      <c r="E169" s="1299"/>
      <c r="F169" s="1299"/>
      <c r="G169" s="875"/>
      <c r="I169" s="376"/>
      <c r="J169" s="1247"/>
      <c r="K169" s="1247"/>
      <c r="L169" s="1247"/>
      <c r="M169" s="1247"/>
      <c r="N169" s="1247"/>
      <c r="O169" s="1247"/>
      <c r="P169" s="1247"/>
    </row>
    <row r="170" spans="2:16" ht="30.75" customHeight="1" x14ac:dyDescent="0.2">
      <c r="B170"/>
      <c r="C170" s="1313" t="s">
        <v>4755</v>
      </c>
      <c r="D170" s="1314"/>
      <c r="E170" s="1314"/>
      <c r="F170" s="1314"/>
      <c r="G170" s="1315"/>
      <c r="I170"/>
      <c r="J170" s="1247"/>
      <c r="K170" s="1247"/>
      <c r="L170" s="1247"/>
      <c r="M170" s="1247"/>
      <c r="N170" s="1247"/>
      <c r="O170" s="1247"/>
      <c r="P170" s="1247"/>
    </row>
    <row r="171" spans="2:16" ht="15" x14ac:dyDescent="0.25">
      <c r="C171" s="1325" t="s">
        <v>4756</v>
      </c>
      <c r="D171" s="1321"/>
      <c r="E171" s="1321"/>
      <c r="F171" s="1321"/>
      <c r="G171" s="1322"/>
      <c r="J171" s="1247"/>
      <c r="K171" s="1247"/>
      <c r="L171" s="1247"/>
      <c r="M171" s="1247"/>
      <c r="N171" s="1247"/>
      <c r="O171" s="1247"/>
      <c r="P171" s="1247"/>
    </row>
    <row r="172" spans="2:16" x14ac:dyDescent="0.2">
      <c r="J172" s="1247"/>
      <c r="K172" s="1247"/>
      <c r="L172" s="1247"/>
      <c r="M172" s="1247"/>
      <c r="N172" s="1247"/>
      <c r="O172" s="1247"/>
      <c r="P172" s="1247"/>
    </row>
    <row r="173" spans="2:16" x14ac:dyDescent="0.2">
      <c r="C173" s="191" t="s">
        <v>4757</v>
      </c>
      <c r="D173" s="702">
        <f>D12</f>
        <v>0</v>
      </c>
      <c r="J173" s="1247"/>
      <c r="K173" s="1247"/>
      <c r="L173" s="1247"/>
      <c r="M173" s="1247"/>
      <c r="N173" s="1247"/>
      <c r="O173" s="1247"/>
      <c r="P173" s="1247"/>
    </row>
    <row r="174" spans="2:16" x14ac:dyDescent="0.2">
      <c r="C174" s="191" t="s">
        <v>4758</v>
      </c>
      <c r="D174" s="684">
        <f>G9</f>
        <v>0</v>
      </c>
      <c r="J174" s="1247"/>
      <c r="K174" s="1247"/>
      <c r="L174" s="1247"/>
      <c r="M174" s="1247"/>
      <c r="N174" s="1247"/>
      <c r="O174" s="1247"/>
      <c r="P174" s="1247"/>
    </row>
    <row r="175" spans="2:16" x14ac:dyDescent="0.2">
      <c r="C175" s="191" t="s">
        <v>4759</v>
      </c>
      <c r="D175" s="705">
        <f>IFERROR(D173/D174,0)</f>
        <v>0</v>
      </c>
      <c r="J175" s="1247"/>
      <c r="K175" s="1247"/>
      <c r="L175" s="1247"/>
      <c r="M175" s="1247"/>
      <c r="N175" s="1247"/>
      <c r="O175" s="1247"/>
      <c r="P175" s="1247"/>
    </row>
    <row r="176" spans="2:16" x14ac:dyDescent="0.2">
      <c r="B176" s="5"/>
      <c r="C176" s="191" t="s">
        <v>5105</v>
      </c>
      <c r="D176" s="684">
        <f>--(IF('Project Details'!C31="Rehabilitation",IF(D175&lt;=15000,5,IF(D175&lt;=20000,4,IF(D175&lt;=25000,3,IF(D175&lt;=30000,2,IF(D175&lt;=35000,1,0)))))))</f>
        <v>0</v>
      </c>
      <c r="J176" s="1247"/>
      <c r="K176" s="1247"/>
      <c r="L176" s="1247"/>
      <c r="M176" s="1247"/>
      <c r="N176" s="1247"/>
      <c r="O176" s="1247"/>
      <c r="P176" s="1247"/>
    </row>
    <row r="177" spans="1:16" x14ac:dyDescent="0.2">
      <c r="B177" s="5"/>
      <c r="C177" s="191" t="s">
        <v>5106</v>
      </c>
      <c r="D177" s="684">
        <f>--(IF('Project Details'!C31="New Construction",IF(D175&lt;=20000,5,IF(D175&lt;=25000,4,IF(D175&lt;=30000,3,IF(D175&lt;=35000,2,IF(D175&lt;=40000,1,0)))))))</f>
        <v>0</v>
      </c>
      <c r="E177"/>
      <c r="J177" s="1247"/>
      <c r="K177" s="1247"/>
      <c r="L177" s="1247"/>
      <c r="M177" s="1247"/>
      <c r="N177" s="1247"/>
      <c r="O177" s="1247"/>
      <c r="P177" s="1247"/>
    </row>
    <row r="178" spans="1:16" x14ac:dyDescent="0.2">
      <c r="B178" s="5"/>
      <c r="C178" s="348" t="s">
        <v>5107</v>
      </c>
      <c r="D178" s="190"/>
      <c r="E178" s="830" t="s">
        <v>5068</v>
      </c>
      <c r="J178" s="856"/>
      <c r="K178" s="856"/>
      <c r="L178" s="856"/>
      <c r="M178" s="856"/>
      <c r="N178" s="856"/>
      <c r="O178" s="856"/>
      <c r="P178" s="856"/>
    </row>
    <row r="179" spans="1:16" x14ac:dyDescent="0.2">
      <c r="B179" s="5"/>
      <c r="C179" s="791" t="s">
        <v>5102</v>
      </c>
      <c r="D179" s="190"/>
      <c r="E179" s="830" t="s">
        <v>5068</v>
      </c>
      <c r="J179" s="856"/>
      <c r="K179" s="856"/>
      <c r="L179" s="856"/>
      <c r="M179" s="856"/>
      <c r="N179" s="856"/>
      <c r="O179" s="856"/>
      <c r="P179" s="856"/>
    </row>
    <row r="180" spans="1:16" x14ac:dyDescent="0.2">
      <c r="B180" s="5"/>
      <c r="C180" s="348" t="s">
        <v>5067</v>
      </c>
      <c r="D180" s="684">
        <f>IF(D178="Yes",MAX(D176,D177)+2,MAX(D176,D177))</f>
        <v>0</v>
      </c>
      <c r="E180"/>
      <c r="J180" s="5"/>
      <c r="K180" s="5"/>
      <c r="L180" s="5"/>
      <c r="M180" s="5"/>
      <c r="N180" s="5"/>
      <c r="O180" s="5"/>
      <c r="P180" s="5"/>
    </row>
    <row r="181" spans="1:16" x14ac:dyDescent="0.2">
      <c r="J181" s="5"/>
      <c r="K181" s="5"/>
      <c r="L181" s="5"/>
      <c r="M181" s="5"/>
      <c r="N181" s="5"/>
      <c r="O181" s="5"/>
      <c r="P181" s="5"/>
    </row>
    <row r="182" spans="1:16" ht="18" x14ac:dyDescent="0.25">
      <c r="A182" s="1273" t="s">
        <v>4760</v>
      </c>
      <c r="B182" s="1274"/>
      <c r="C182" s="1274"/>
      <c r="D182" s="1274"/>
      <c r="E182" s="1274"/>
      <c r="F182" s="1274"/>
      <c r="G182" s="1275"/>
      <c r="J182" s="1262" t="s">
        <v>4306</v>
      </c>
      <c r="K182" s="1262"/>
      <c r="L182" s="1262"/>
      <c r="M182" s="1262"/>
      <c r="N182" s="1262"/>
      <c r="O182" s="1262"/>
      <c r="P182" s="1262"/>
    </row>
    <row r="183" spans="1:16" x14ac:dyDescent="0.2">
      <c r="B183" s="684">
        <f>'Budget &amp; Costs'!D69</f>
        <v>0</v>
      </c>
      <c r="C183" s="5" t="s">
        <v>5069</v>
      </c>
      <c r="J183" s="1280"/>
      <c r="K183" s="1280"/>
      <c r="L183" s="1280"/>
      <c r="M183" s="1280"/>
      <c r="N183" s="1280"/>
      <c r="O183" s="1280"/>
      <c r="P183" s="1280"/>
    </row>
    <row r="184" spans="1:16" x14ac:dyDescent="0.2">
      <c r="B184" s="171"/>
      <c r="C184" s="5" t="s">
        <v>5071</v>
      </c>
      <c r="J184" s="1280"/>
      <c r="K184" s="1280"/>
      <c r="L184" s="1280"/>
      <c r="M184" s="1280"/>
      <c r="N184" s="1280"/>
      <c r="O184" s="1280"/>
      <c r="P184" s="1280"/>
    </row>
    <row r="185" spans="1:16" x14ac:dyDescent="0.2">
      <c r="J185" s="1280"/>
      <c r="K185" s="1280"/>
      <c r="L185" s="1280"/>
      <c r="M185" s="1280"/>
      <c r="N185" s="1280"/>
      <c r="O185" s="1280"/>
      <c r="P185" s="1280"/>
    </row>
    <row r="186" spans="1:16" x14ac:dyDescent="0.2">
      <c r="J186" s="1280"/>
      <c r="K186" s="1280"/>
      <c r="L186" s="1280"/>
      <c r="M186" s="1280"/>
      <c r="N186" s="1280"/>
      <c r="O186" s="1280"/>
      <c r="P186" s="1280"/>
    </row>
    <row r="187" spans="1:16" x14ac:dyDescent="0.2">
      <c r="J187" s="1280"/>
      <c r="K187" s="1280"/>
      <c r="L187" s="1280"/>
      <c r="M187" s="1280"/>
      <c r="N187" s="1280"/>
      <c r="O187" s="1280"/>
      <c r="P187" s="1280"/>
    </row>
    <row r="188" spans="1:16" x14ac:dyDescent="0.2">
      <c r="J188" s="1280"/>
      <c r="K188" s="1280"/>
      <c r="L188" s="1280"/>
      <c r="M188" s="1280"/>
      <c r="N188" s="1280"/>
      <c r="O188" s="1280"/>
      <c r="P188" s="1280"/>
    </row>
  </sheetData>
  <mergeCells count="82">
    <mergeCell ref="A182:G182"/>
    <mergeCell ref="J182:P182"/>
    <mergeCell ref="J183:P188"/>
    <mergeCell ref="C153:F153"/>
    <mergeCell ref="J153:P167"/>
    <mergeCell ref="C154:G154"/>
    <mergeCell ref="C155:G155"/>
    <mergeCell ref="C169:F169"/>
    <mergeCell ref="J169:P177"/>
    <mergeCell ref="C170:G170"/>
    <mergeCell ref="C171:G171"/>
    <mergeCell ref="E164:F164"/>
    <mergeCell ref="E165:F165"/>
    <mergeCell ref="E166:F166"/>
    <mergeCell ref="J131:P137"/>
    <mergeCell ref="C132:G132"/>
    <mergeCell ref="C135:G136"/>
    <mergeCell ref="J138:P151"/>
    <mergeCell ref="C139:G139"/>
    <mergeCell ref="C140:G140"/>
    <mergeCell ref="C143:G144"/>
    <mergeCell ref="C145:G145"/>
    <mergeCell ref="E148:F148"/>
    <mergeCell ref="E149:F149"/>
    <mergeCell ref="E150:F150"/>
    <mergeCell ref="J121:P130"/>
    <mergeCell ref="C123:G123"/>
    <mergeCell ref="C124:G124"/>
    <mergeCell ref="C125:G125"/>
    <mergeCell ref="C128:G129"/>
    <mergeCell ref="J97:P116"/>
    <mergeCell ref="C98:G98"/>
    <mergeCell ref="C99:G99"/>
    <mergeCell ref="C118:F118"/>
    <mergeCell ref="J118:P120"/>
    <mergeCell ref="C119:G119"/>
    <mergeCell ref="E107:F107"/>
    <mergeCell ref="E108:F108"/>
    <mergeCell ref="E109:F109"/>
    <mergeCell ref="E110:F110"/>
    <mergeCell ref="E111:F111"/>
    <mergeCell ref="E112:F112"/>
    <mergeCell ref="E113:F113"/>
    <mergeCell ref="E114:F114"/>
    <mergeCell ref="E115:F115"/>
    <mergeCell ref="A83:G83"/>
    <mergeCell ref="J83:P83"/>
    <mergeCell ref="C86:G86"/>
    <mergeCell ref="J86:P95"/>
    <mergeCell ref="C87:G87"/>
    <mergeCell ref="C88:G88"/>
    <mergeCell ref="C91:D91"/>
    <mergeCell ref="C94:D94"/>
    <mergeCell ref="J50:P58"/>
    <mergeCell ref="C53:G58"/>
    <mergeCell ref="C60:G61"/>
    <mergeCell ref="J60:P61"/>
    <mergeCell ref="B62:G62"/>
    <mergeCell ref="J62:P80"/>
    <mergeCell ref="D63:G63"/>
    <mergeCell ref="D65:G66"/>
    <mergeCell ref="D68:G69"/>
    <mergeCell ref="D71:G72"/>
    <mergeCell ref="D74:G75"/>
    <mergeCell ref="D77:G77"/>
    <mergeCell ref="D79:G80"/>
    <mergeCell ref="C50:G51"/>
    <mergeCell ref="J40:P48"/>
    <mergeCell ref="C43:G48"/>
    <mergeCell ref="C40:G41"/>
    <mergeCell ref="J15:P15"/>
    <mergeCell ref="A16:G16"/>
    <mergeCell ref="J16:P28"/>
    <mergeCell ref="B25:G25"/>
    <mergeCell ref="A39:G39"/>
    <mergeCell ref="J39:P39"/>
    <mergeCell ref="A15:G15"/>
    <mergeCell ref="A30:G30"/>
    <mergeCell ref="A31:G31"/>
    <mergeCell ref="B36:G36"/>
    <mergeCell ref="J30:P30"/>
    <mergeCell ref="J31:P37"/>
  </mergeCells>
  <conditionalFormatting sqref="B50">
    <cfRule type="expression" dxfId="72" priority="39">
      <formula>B50="Yes"</formula>
    </cfRule>
  </conditionalFormatting>
  <conditionalFormatting sqref="B86">
    <cfRule type="expression" dxfId="71" priority="8">
      <formula>B86&gt;0</formula>
    </cfRule>
  </conditionalFormatting>
  <conditionalFormatting sqref="B40">
    <cfRule type="expression" dxfId="70" priority="33">
      <formula>B40="Yes"</formula>
    </cfRule>
  </conditionalFormatting>
  <conditionalFormatting sqref="B169">
    <cfRule type="expression" dxfId="69" priority="32">
      <formula>B169&gt;0</formula>
    </cfRule>
  </conditionalFormatting>
  <conditionalFormatting sqref="B153">
    <cfRule type="expression" dxfId="68" priority="11">
      <formula>B153&gt;0</formula>
    </cfRule>
  </conditionalFormatting>
  <conditionalFormatting sqref="B118">
    <cfRule type="expression" dxfId="67" priority="10">
      <formula>B118&gt;0</formula>
    </cfRule>
  </conditionalFormatting>
  <conditionalFormatting sqref="B97">
    <cfRule type="expression" dxfId="66" priority="9">
      <formula>B97&gt;0</formula>
    </cfRule>
  </conditionalFormatting>
  <conditionalFormatting sqref="G20">
    <cfRule type="expression" dxfId="65" priority="5">
      <formula>$G$19&lt;0.4</formula>
    </cfRule>
  </conditionalFormatting>
  <conditionalFormatting sqref="G23">
    <cfRule type="expression" dxfId="64" priority="4">
      <formula>$G$22&lt;0.35</formula>
    </cfRule>
  </conditionalFormatting>
  <conditionalFormatting sqref="B34">
    <cfRule type="expression" dxfId="63" priority="3">
      <formula>$B$45="Yes"</formula>
    </cfRule>
  </conditionalFormatting>
  <conditionalFormatting sqref="B37">
    <cfRule type="expression" dxfId="62" priority="2">
      <formula>$B$45="Yes"</formula>
    </cfRule>
  </conditionalFormatting>
  <conditionalFormatting sqref="G28">
    <cfRule type="expression" dxfId="61" priority="1">
      <formula>$G$27&lt;$G$26</formula>
    </cfRule>
  </conditionalFormatting>
  <dataValidations count="13">
    <dataValidation type="list" allowBlank="1" showInputMessage="1" showErrorMessage="1" sqref="I97 I153" xr:uid="{00000000-0002-0000-1100-000000000000}">
      <formula1>"0,3,4,5"</formula1>
    </dataValidation>
    <dataValidation type="list" allowBlank="1" showInputMessage="1" showErrorMessage="1" sqref="I169" xr:uid="{00000000-0002-0000-1100-000001000000}">
      <formula1>"0,1,2,3,4,5"</formula1>
    </dataValidation>
    <dataValidation type="list" allowBlank="1" showInputMessage="1" showErrorMessage="1" sqref="I86" xr:uid="{00000000-0002-0000-1100-000002000000}">
      <formula1>"0,2,3,4,5"</formula1>
    </dataValidation>
    <dataValidation type="list" allowBlank="1" showInputMessage="1" showErrorMessage="1" sqref="C63 C65 C77 C74 C68 C71 C79" xr:uid="{00000000-0002-0000-1100-000003000000}">
      <formula1>"Agree"</formula1>
    </dataValidation>
    <dataValidation type="list" allowBlank="1" showInputMessage="1" showErrorMessage="1" sqref="I131 I121 B121 B131" xr:uid="{00000000-0002-0000-1100-000004000000}">
      <formula1>"0,5"</formula1>
    </dataValidation>
    <dataValidation type="list" allowBlank="1" showInputMessage="1" showErrorMessage="1" sqref="B40 B50 I40 I50 B37 B34 D178" xr:uid="{00000000-0002-0000-1100-000005000000}">
      <formula1>"Yes,No"</formula1>
    </dataValidation>
    <dataValidation type="list" allowBlank="1" showInputMessage="1" showErrorMessage="1" sqref="C91" xr:uid="{00000000-0002-0000-1100-000006000000}">
      <formula1>"Commitment on at least 70% of affordable units, Commitment on at least 80% of affordable units, Commitment on at least 90% of affordable units, Commitment on 100% of affordable units"</formula1>
    </dataValidation>
    <dataValidation type="list" allowBlank="1" showInputMessage="1" showErrorMessage="1" sqref="C94" xr:uid="{00000000-0002-0000-1100-000007000000}">
      <formula1>"Commitment on at least 30% of affordable units, Commitment on at least 40% of affordable units, Commitment on at least 50% of affordable units, Commitment on at least 60% of affordable units"</formula1>
    </dataValidation>
    <dataValidation type="list" allowBlank="1" showInputMessage="1" showErrorMessage="1" sqref="B138 I138" xr:uid="{00000000-0002-0000-1100-000008000000}">
      <formula1>"0,4"</formula1>
    </dataValidation>
    <dataValidation type="list" allowBlank="1" showInputMessage="1" showErrorMessage="1" sqref="D8" xr:uid="{00000000-0002-0000-1100-000009000000}">
      <formula1>"Preserved Affordability: PJ, Preserved Affordability: Non-PJ"</formula1>
    </dataValidation>
    <dataValidation type="list" allowBlank="1" showInputMessage="1" showErrorMessage="1" sqref="E107:F115" xr:uid="{00000000-0002-0000-1100-00000A000000}">
      <formula1>"Private debt from non-related entity, Private capital from non-related entity, FHLB AHP funds, State historic tax credit equity, Grant/Loan from state or local government (not originating with federal govt)"</formula1>
    </dataValidation>
    <dataValidation type="list" allowBlank="1" showInputMessage="1" showErrorMessage="1" sqref="I118" xr:uid="{00000000-0002-0000-1100-00000B000000}">
      <formula1>"0,4,5"</formula1>
    </dataValidation>
    <dataValidation type="list" allowBlank="1" showInputMessage="1" showErrorMessage="1" sqref="D179" xr:uid="{00000000-0002-0000-1100-00000C000000}">
      <formula1>"60 or fewer total units,Serves a PSH population,100% adaptive reuse"</formula1>
    </dataValidation>
  </dataValidations>
  <pageMargins left="0.25" right="0.25" top="0.75" bottom="0.75" header="0.3" footer="0.3"/>
  <pageSetup scale="83" fitToHeight="0" orientation="landscape" r:id="rId1"/>
  <rowBreaks count="4" manualBreakCount="4">
    <brk id="38" max="12" man="1"/>
    <brk id="66" max="12" man="1"/>
    <brk id="77" max="12" man="1"/>
    <brk id="95" max="12" man="1"/>
  </rowBreaks>
  <ignoredErrors>
    <ignoredError sqref="D160 G84" evalError="1"/>
    <ignoredError sqref="D102" unlocked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0070C0"/>
  </sheetPr>
  <dimension ref="A1:R221"/>
  <sheetViews>
    <sheetView showGridLines="0" topLeftCell="A205" zoomScale="85" zoomScaleNormal="85" workbookViewId="0">
      <selection activeCell="D50" sqref="A1:XFD1048576"/>
    </sheetView>
  </sheetViews>
  <sheetFormatPr defaultColWidth="9" defaultRowHeight="14.25" x14ac:dyDescent="0.2"/>
  <cols>
    <col min="1" max="1" width="8.625" style="5" customWidth="1"/>
    <col min="2" max="2" width="32" style="37" customWidth="1"/>
    <col min="3" max="3" width="35.625" style="5" customWidth="1"/>
    <col min="4" max="4" width="42.5" style="5" customWidth="1"/>
    <col min="5" max="5" width="20.75" style="5" customWidth="1"/>
    <col min="6" max="6" width="24.125" style="5" customWidth="1"/>
    <col min="7" max="7" width="11.875" style="5" customWidth="1"/>
    <col min="8" max="8" width="11.125" style="5" hidden="1" customWidth="1"/>
    <col min="9" max="9" width="26.25" style="5" hidden="1" customWidth="1"/>
    <col min="10" max="14" width="7.875" style="5" hidden="1" customWidth="1"/>
    <col min="15" max="15" width="7.875" style="191" customWidth="1"/>
    <col min="16" max="17" width="9" style="191" customWidth="1"/>
    <col min="18" max="16384" width="9" style="191"/>
  </cols>
  <sheetData>
    <row r="1" spans="1:14" ht="54.95" customHeight="1" x14ac:dyDescent="0.2"/>
    <row r="2" spans="1:14" s="192" customFormat="1" ht="22.5" x14ac:dyDescent="0.3">
      <c r="A2" s="3" t="s">
        <v>6</v>
      </c>
      <c r="B2" s="94"/>
      <c r="C2" s="1"/>
      <c r="D2" s="1"/>
      <c r="E2" s="1"/>
      <c r="F2" s="1"/>
      <c r="G2" s="1"/>
      <c r="H2" s="1"/>
      <c r="I2" s="1"/>
      <c r="J2" s="1"/>
      <c r="K2" s="1"/>
      <c r="L2" s="1"/>
      <c r="M2" s="1"/>
      <c r="N2" s="1"/>
    </row>
    <row r="3" spans="1:14" s="193" customFormat="1" ht="15.75" x14ac:dyDescent="0.25">
      <c r="A3" s="146" t="str">
        <f>C5</f>
        <v>New Affordability- Central City</v>
      </c>
      <c r="B3" s="95"/>
      <c r="C3" s="39"/>
      <c r="D3" s="2"/>
      <c r="E3" s="2"/>
      <c r="F3" s="2"/>
      <c r="G3" s="2"/>
      <c r="H3" s="2"/>
      <c r="I3" s="2"/>
      <c r="J3" s="2"/>
      <c r="K3" s="2"/>
      <c r="L3" s="2"/>
      <c r="M3" s="2"/>
      <c r="N3" s="2"/>
    </row>
    <row r="4" spans="1:14" x14ac:dyDescent="0.2">
      <c r="A4" s="1371" t="str">
        <f>IF(C5&lt;&gt;C10,"THIS IS THE WRONG POOL WORKBOOK -- DO NOT USE THIS WORKBOOK OR CHANGE POOL ON PROJECT DETAILS TAB","")</f>
        <v>THIS IS THE WRONG POOL WORKBOOK -- DO NOT USE THIS WORKBOOK OR CHANGE POOL ON PROJECT DETAILS TAB</v>
      </c>
      <c r="B4" s="1371"/>
      <c r="C4" s="1371"/>
      <c r="D4" s="1371"/>
      <c r="E4" s="1371"/>
      <c r="F4" s="1371"/>
    </row>
    <row r="5" spans="1:14" ht="15" x14ac:dyDescent="0.25">
      <c r="B5" s="37" t="s">
        <v>3556</v>
      </c>
      <c r="C5" s="1366" t="s">
        <v>5189</v>
      </c>
      <c r="D5" s="1366"/>
      <c r="G5" s="752"/>
      <c r="H5" s="92"/>
    </row>
    <row r="6" spans="1:14" ht="15" x14ac:dyDescent="0.25">
      <c r="B6" s="37" t="s">
        <v>3110</v>
      </c>
      <c r="C6" s="952">
        <f>'Project Details'!C27</f>
        <v>0</v>
      </c>
      <c r="D6" s="951"/>
      <c r="G6" s="752"/>
      <c r="H6" s="92"/>
    </row>
    <row r="7" spans="1:14" x14ac:dyDescent="0.2">
      <c r="B7" s="37" t="s">
        <v>3903</v>
      </c>
      <c r="C7" s="836">
        <v>1250000</v>
      </c>
      <c r="G7" s="752"/>
    </row>
    <row r="8" spans="1:14" x14ac:dyDescent="0.2">
      <c r="B8" s="37" t="s">
        <v>3897</v>
      </c>
      <c r="C8" s="837">
        <f>'Housing Credits'!C43</f>
        <v>0</v>
      </c>
      <c r="D8" s="97" t="str">
        <f>IF(C8&gt;C7,"Credits Exceed Allowable Cap","")</f>
        <v/>
      </c>
      <c r="E8" s="37"/>
      <c r="G8" s="752"/>
    </row>
    <row r="9" spans="1:14" x14ac:dyDescent="0.2">
      <c r="B9" s="37" t="s">
        <v>3575</v>
      </c>
      <c r="C9" s="1379" t="str">
        <f>IF('Project Details'!C23="","[None Selected]",'Project Details'!C23)</f>
        <v>[None Selected]</v>
      </c>
      <c r="D9" s="1379"/>
      <c r="E9" s="37"/>
      <c r="G9" s="752"/>
    </row>
    <row r="10" spans="1:14" x14ac:dyDescent="0.2">
      <c r="B10" s="147"/>
      <c r="C10" s="148">
        <f>'Project Details'!C22</f>
        <v>0</v>
      </c>
      <c r="I10" s="103"/>
    </row>
    <row r="11" spans="1:14" ht="24.95" customHeight="1" x14ac:dyDescent="0.25">
      <c r="A11" s="767" t="s">
        <v>4865</v>
      </c>
      <c r="B11" s="768"/>
      <c r="C11" s="769"/>
      <c r="D11" s="769"/>
      <c r="E11" s="769"/>
      <c r="F11" s="769"/>
      <c r="I11" s="103"/>
    </row>
    <row r="12" spans="1:14" ht="15" x14ac:dyDescent="0.25">
      <c r="A12" s="770"/>
      <c r="B12" s="1374" t="s">
        <v>4870</v>
      </c>
      <c r="C12" s="1374"/>
      <c r="D12" s="1374"/>
      <c r="E12" s="1374"/>
      <c r="F12" s="1374"/>
      <c r="I12" s="103"/>
    </row>
    <row r="13" spans="1:14" x14ac:dyDescent="0.2">
      <c r="A13"/>
      <c r="B13" s="773" t="s">
        <v>4866</v>
      </c>
      <c r="C13" s="771">
        <f>'Project Details'!C26</f>
        <v>0</v>
      </c>
      <c r="D13" s="1381" t="str">
        <f>IF(C13="Preserved Affordability","INELIGIBLE FOR POOL","")</f>
        <v/>
      </c>
      <c r="E13" s="1381"/>
      <c r="F13" s="1381"/>
      <c r="I13" s="103"/>
    </row>
    <row r="14" spans="1:14" ht="15" x14ac:dyDescent="0.25">
      <c r="A14" s="770"/>
      <c r="B14" s="1376" t="s">
        <v>5193</v>
      </c>
      <c r="C14" s="1377"/>
      <c r="D14" s="1377"/>
      <c r="E14" s="1377"/>
      <c r="F14" s="1378"/>
      <c r="I14" s="103"/>
    </row>
    <row r="15" spans="1:14" x14ac:dyDescent="0.2">
      <c r="A15"/>
      <c r="B15" s="773" t="s">
        <v>5174</v>
      </c>
      <c r="C15" s="771">
        <f>'Project Details'!C14</f>
        <v>0</v>
      </c>
      <c r="D15" s="785" t="str">
        <f>IF(C15="Non-Urban","INELIGIBLE FOR POOL","")</f>
        <v/>
      </c>
      <c r="I15" s="103"/>
    </row>
    <row r="16" spans="1:14" ht="15" x14ac:dyDescent="0.25">
      <c r="A16" s="770"/>
      <c r="B16" s="1375" t="s">
        <v>5194</v>
      </c>
      <c r="C16" s="1375"/>
      <c r="D16" s="1375"/>
      <c r="E16" s="1375"/>
      <c r="F16" s="1375"/>
      <c r="I16" s="103"/>
    </row>
    <row r="17" spans="1:18" x14ac:dyDescent="0.2">
      <c r="B17" s="37" t="s">
        <v>3690</v>
      </c>
      <c r="C17" s="774">
        <f>'Project Details'!C31</f>
        <v>0</v>
      </c>
      <c r="D17" s="1380" t="str">
        <f>IF(OR(C17="Low",C17="Very Low"),"INELIGIBLE FOR POOL","")</f>
        <v/>
      </c>
      <c r="E17" s="1380"/>
      <c r="F17" s="1380"/>
      <c r="I17" s="103"/>
    </row>
    <row r="18" spans="1:18" x14ac:dyDescent="0.2">
      <c r="B18" s="37" t="s">
        <v>5195</v>
      </c>
      <c r="C18" s="953">
        <f>'Project Details'!C234</f>
        <v>0</v>
      </c>
      <c r="D18" s="1380" t="str">
        <f>IF(OR(AND(C17="Moderate",C18="Slight Decline"),AND(C17="Moderate",C18="Strong Decline")),"INELIGIBLE FOR POOL","")</f>
        <v/>
      </c>
      <c r="E18" s="1380"/>
      <c r="F18" s="1380"/>
      <c r="I18" s="103"/>
    </row>
    <row r="19" spans="1:18" x14ac:dyDescent="0.2">
      <c r="B19" s="37" t="s">
        <v>5196</v>
      </c>
      <c r="C19" s="954">
        <f>'Project Details'!C40</f>
        <v>0</v>
      </c>
      <c r="D19" s="955"/>
      <c r="E19" s="955"/>
      <c r="F19" s="955"/>
      <c r="I19" s="103"/>
    </row>
    <row r="20" spans="1:18" ht="15" thickBot="1" x14ac:dyDescent="0.25">
      <c r="B20" s="147"/>
      <c r="C20" s="148"/>
      <c r="I20" s="100" t="str">
        <f>IF(H21&lt;&gt;F22,"Doesn't Match Self-Score","")</f>
        <v/>
      </c>
    </row>
    <row r="21" spans="1:18" ht="18.75" thickBot="1" x14ac:dyDescent="0.3">
      <c r="A21" s="474" t="s">
        <v>5209</v>
      </c>
      <c r="B21" s="486"/>
      <c r="C21" s="487"/>
      <c r="D21" s="487"/>
      <c r="E21" s="487"/>
      <c r="F21" s="488"/>
      <c r="H21" s="128">
        <f>IF(H23+H28+H34+H39&gt;=10,10,0)</f>
        <v>0</v>
      </c>
      <c r="I21" s="1350" t="s">
        <v>5263</v>
      </c>
      <c r="J21" s="1351"/>
      <c r="K21" s="1351"/>
      <c r="L21" s="1351"/>
      <c r="M21" s="1351"/>
      <c r="N21" s="1352"/>
    </row>
    <row r="22" spans="1:18" ht="14.25" customHeight="1" x14ac:dyDescent="0.25">
      <c r="A22" s="1367" t="s">
        <v>3893</v>
      </c>
      <c r="B22" s="1368"/>
      <c r="C22" s="1368"/>
      <c r="D22" s="489"/>
      <c r="E22" s="484" t="s">
        <v>3949</v>
      </c>
      <c r="F22" s="485">
        <f>IF(A23+A28+A34+A39&gt;=10,10,0)</f>
        <v>0</v>
      </c>
      <c r="H22" s="9" t="s">
        <v>4910</v>
      </c>
      <c r="I22" s="1353"/>
      <c r="J22" s="1354"/>
      <c r="K22" s="1354"/>
      <c r="L22" s="1354"/>
      <c r="M22" s="1354"/>
      <c r="N22" s="1355"/>
      <c r="O22" s="194"/>
      <c r="P22" s="194"/>
      <c r="Q22" s="194"/>
      <c r="R22" s="194"/>
    </row>
    <row r="23" spans="1:18" ht="14.25" customHeight="1" x14ac:dyDescent="0.25">
      <c r="A23" s="260"/>
      <c r="B23" s="120" t="s">
        <v>5205</v>
      </c>
      <c r="C23" s="121"/>
      <c r="D23" s="127"/>
      <c r="E23" s="122"/>
      <c r="F23" s="123"/>
      <c r="H23" s="262"/>
      <c r="I23" s="1356"/>
      <c r="J23" s="1357"/>
      <c r="K23" s="1357"/>
      <c r="L23" s="1357"/>
      <c r="M23" s="1357"/>
      <c r="N23" s="1358"/>
      <c r="O23" s="194"/>
      <c r="P23" s="194"/>
      <c r="Q23" s="194"/>
      <c r="R23" s="194"/>
    </row>
    <row r="24" spans="1:18" ht="27" customHeight="1" x14ac:dyDescent="0.25">
      <c r="A24" s="261"/>
      <c r="B24" s="490" t="s">
        <v>3948</v>
      </c>
      <c r="C24" s="1372" t="s">
        <v>5199</v>
      </c>
      <c r="D24" s="1372"/>
      <c r="E24" s="1372"/>
      <c r="F24" s="1373"/>
      <c r="H24" s="26"/>
      <c r="I24" s="1356"/>
      <c r="J24" s="1357"/>
      <c r="K24" s="1357"/>
      <c r="L24" s="1357"/>
      <c r="M24" s="1357"/>
      <c r="N24" s="1358"/>
      <c r="O24" s="194"/>
      <c r="P24" s="194"/>
      <c r="Q24" s="194"/>
      <c r="R24" s="194"/>
    </row>
    <row r="25" spans="1:18" ht="15" x14ac:dyDescent="0.25">
      <c r="A25" s="261"/>
      <c r="B25" s="37" t="s">
        <v>4406</v>
      </c>
      <c r="C25" s="263"/>
      <c r="D25" s="370" t="s">
        <v>4405</v>
      </c>
      <c r="E25" s="263"/>
      <c r="H25" s="26"/>
      <c r="I25" s="1356"/>
      <c r="J25" s="1357"/>
      <c r="K25" s="1357"/>
      <c r="L25" s="1357"/>
      <c r="M25" s="1357"/>
      <c r="N25" s="1358"/>
      <c r="O25" s="194"/>
      <c r="P25" s="194"/>
      <c r="Q25" s="194"/>
      <c r="R25" s="194"/>
    </row>
    <row r="26" spans="1:18" ht="15" x14ac:dyDescent="0.25">
      <c r="A26" s="261"/>
      <c r="B26" s="37" t="s">
        <v>3951</v>
      </c>
      <c r="C26" s="129" t="str">
        <f>IFERROR(VLOOKUP(C25,Data!$J$86:$K$89,2,FALSE),"")</f>
        <v/>
      </c>
      <c r="D26" s="103" t="str">
        <f>IF(C26&lt;0.25,"Insufficient Ownership","")</f>
        <v/>
      </c>
      <c r="E26" s="26"/>
      <c r="H26" s="26"/>
      <c r="I26" s="1356"/>
      <c r="J26" s="1357"/>
      <c r="K26" s="1357"/>
      <c r="L26" s="1357"/>
      <c r="M26" s="1357"/>
      <c r="N26" s="1358"/>
      <c r="O26" s="194"/>
      <c r="P26" s="194"/>
      <c r="Q26" s="194"/>
      <c r="R26" s="194"/>
    </row>
    <row r="27" spans="1:18" ht="14.25" customHeight="1" x14ac:dyDescent="0.25">
      <c r="A27" s="261"/>
      <c r="B27" s="5"/>
      <c r="D27" s="26"/>
      <c r="E27" s="26"/>
      <c r="H27" s="9" t="s">
        <v>4299</v>
      </c>
      <c r="I27" s="1356"/>
      <c r="J27" s="1357"/>
      <c r="K27" s="1357"/>
      <c r="L27" s="1357"/>
      <c r="M27" s="1357"/>
      <c r="N27" s="1358"/>
      <c r="O27" s="194"/>
      <c r="P27" s="194"/>
      <c r="Q27" s="194"/>
      <c r="R27" s="194"/>
    </row>
    <row r="28" spans="1:18" ht="14.25" customHeight="1" x14ac:dyDescent="0.25">
      <c r="A28" s="262"/>
      <c r="B28" s="111" t="s">
        <v>5206</v>
      </c>
      <c r="C28" s="112"/>
      <c r="D28" s="113"/>
      <c r="E28" s="114"/>
      <c r="F28" s="115"/>
      <c r="H28" s="262"/>
      <c r="I28" s="1356"/>
      <c r="J28" s="1357"/>
      <c r="K28" s="1357"/>
      <c r="L28" s="1357"/>
      <c r="M28" s="1357"/>
      <c r="N28" s="1358"/>
      <c r="O28" s="194"/>
      <c r="P28" s="194"/>
      <c r="Q28" s="194"/>
      <c r="R28" s="194"/>
    </row>
    <row r="29" spans="1:18" ht="29.25" customHeight="1" x14ac:dyDescent="0.25">
      <c r="A29" s="261"/>
      <c r="B29" s="490" t="s">
        <v>3948</v>
      </c>
      <c r="C29" s="1372" t="s">
        <v>5902</v>
      </c>
      <c r="D29" s="1372"/>
      <c r="E29" s="1372"/>
      <c r="F29" s="1373"/>
      <c r="H29" s="26"/>
      <c r="I29" s="1356"/>
      <c r="J29" s="1357"/>
      <c r="K29" s="1357"/>
      <c r="L29" s="1357"/>
      <c r="M29" s="1357"/>
      <c r="N29" s="1358"/>
      <c r="O29" s="194"/>
      <c r="P29" s="194"/>
      <c r="Q29" s="194"/>
      <c r="R29" s="194"/>
    </row>
    <row r="30" spans="1:18" ht="15" x14ac:dyDescent="0.25">
      <c r="A30" s="261"/>
      <c r="B30" s="37" t="s">
        <v>3952</v>
      </c>
      <c r="C30" s="263"/>
      <c r="D30" s="26"/>
      <c r="E30" s="26"/>
      <c r="H30" s="26"/>
      <c r="I30" s="1356"/>
      <c r="J30" s="1357"/>
      <c r="K30" s="1357"/>
      <c r="L30" s="1357"/>
      <c r="M30" s="1357"/>
      <c r="N30" s="1358"/>
      <c r="O30" s="194"/>
      <c r="P30" s="194"/>
      <c r="Q30" s="194"/>
      <c r="R30" s="194"/>
    </row>
    <row r="31" spans="1:18" ht="15" x14ac:dyDescent="0.25">
      <c r="A31" s="261"/>
      <c r="B31" s="37" t="s">
        <v>4622</v>
      </c>
      <c r="C31" s="263"/>
      <c r="D31" s="26"/>
      <c r="E31" s="26"/>
      <c r="H31" s="26"/>
      <c r="I31" s="1356"/>
      <c r="J31" s="1357"/>
      <c r="K31" s="1357"/>
      <c r="L31" s="1357"/>
      <c r="M31" s="1357"/>
      <c r="N31" s="1358"/>
      <c r="O31" s="194"/>
      <c r="P31" s="194"/>
      <c r="Q31" s="194"/>
      <c r="R31" s="194"/>
    </row>
    <row r="32" spans="1:18" ht="15" x14ac:dyDescent="0.25">
      <c r="A32" s="261"/>
      <c r="B32" s="37" t="s">
        <v>3951</v>
      </c>
      <c r="C32" s="129" t="str">
        <f>IFERROR(VLOOKUP(C30,Data!$J$86:$K$89,2,FALSE),"")</f>
        <v/>
      </c>
      <c r="D32" s="103" t="str">
        <f>IF(C32&lt;0.25,"Insufficient Ownership","")</f>
        <v/>
      </c>
      <c r="E32" s="26"/>
      <c r="H32" s="26"/>
      <c r="I32" s="1356"/>
      <c r="J32" s="1357"/>
      <c r="K32" s="1357"/>
      <c r="L32" s="1357"/>
      <c r="M32" s="1357"/>
      <c r="N32" s="1358"/>
      <c r="O32" s="194"/>
      <c r="P32" s="194"/>
      <c r="Q32" s="194"/>
      <c r="R32" s="194"/>
    </row>
    <row r="33" spans="1:18" ht="14.25" customHeight="1" x14ac:dyDescent="0.25">
      <c r="A33" s="261"/>
      <c r="B33" s="5"/>
      <c r="D33" s="26"/>
      <c r="E33" s="26"/>
      <c r="H33" s="9" t="s">
        <v>3918</v>
      </c>
      <c r="I33" s="1356"/>
      <c r="J33" s="1357"/>
      <c r="K33" s="1357"/>
      <c r="L33" s="1357"/>
      <c r="M33" s="1357"/>
      <c r="N33" s="1358"/>
      <c r="O33" s="194"/>
      <c r="P33" s="194"/>
      <c r="Q33" s="194"/>
      <c r="R33" s="194"/>
    </row>
    <row r="34" spans="1:18" ht="14.25" customHeight="1" x14ac:dyDescent="0.25">
      <c r="A34" s="262"/>
      <c r="B34" s="111" t="s">
        <v>5207</v>
      </c>
      <c r="C34" s="112"/>
      <c r="D34" s="113"/>
      <c r="E34" s="114"/>
      <c r="F34" s="115"/>
      <c r="H34" s="262"/>
      <c r="I34" s="1356"/>
      <c r="J34" s="1357"/>
      <c r="K34" s="1357"/>
      <c r="L34" s="1357"/>
      <c r="M34" s="1357"/>
      <c r="N34" s="1358"/>
      <c r="O34" s="194"/>
      <c r="P34" s="194"/>
      <c r="Q34" s="194"/>
      <c r="R34" s="194"/>
    </row>
    <row r="35" spans="1:18" ht="30.75" customHeight="1" x14ac:dyDescent="0.25">
      <c r="A35" s="261"/>
      <c r="B35" s="490" t="s">
        <v>3948</v>
      </c>
      <c r="C35" s="1372" t="s">
        <v>5903</v>
      </c>
      <c r="D35" s="1372"/>
      <c r="E35" s="1372"/>
      <c r="F35" s="1373"/>
      <c r="H35" s="26"/>
      <c r="I35" s="1356"/>
      <c r="J35" s="1357"/>
      <c r="K35" s="1357"/>
      <c r="L35" s="1357"/>
      <c r="M35" s="1357"/>
      <c r="N35" s="1358"/>
      <c r="O35" s="194"/>
      <c r="P35" s="194"/>
      <c r="Q35" s="194"/>
      <c r="R35" s="194"/>
    </row>
    <row r="36" spans="1:18" ht="15" x14ac:dyDescent="0.25">
      <c r="A36" s="261"/>
      <c r="B36" s="37" t="s">
        <v>3953</v>
      </c>
      <c r="C36" s="263"/>
      <c r="D36" s="26"/>
      <c r="E36" s="26"/>
      <c r="H36" s="26"/>
      <c r="I36" s="1356"/>
      <c r="J36" s="1357"/>
      <c r="K36" s="1357"/>
      <c r="L36" s="1357"/>
      <c r="M36" s="1357"/>
      <c r="N36" s="1358"/>
      <c r="O36" s="194"/>
      <c r="P36" s="194"/>
      <c r="Q36" s="194"/>
      <c r="R36" s="194"/>
    </row>
    <row r="37" spans="1:18" ht="15" x14ac:dyDescent="0.25">
      <c r="A37" s="261"/>
      <c r="B37" s="37" t="s">
        <v>4623</v>
      </c>
      <c r="C37" s="670"/>
      <c r="D37" s="103"/>
      <c r="E37" s="26"/>
      <c r="H37" s="26"/>
      <c r="I37" s="1356"/>
      <c r="J37" s="1357"/>
      <c r="K37" s="1357"/>
      <c r="L37" s="1357"/>
      <c r="M37" s="1357"/>
      <c r="N37" s="1358"/>
      <c r="O37" s="194"/>
      <c r="P37" s="194"/>
      <c r="Q37" s="194"/>
      <c r="R37" s="194"/>
    </row>
    <row r="38" spans="1:18" ht="14.25" customHeight="1" x14ac:dyDescent="0.25">
      <c r="A38" s="261"/>
      <c r="B38" s="5"/>
      <c r="D38" s="103"/>
      <c r="E38" s="26"/>
      <c r="H38" s="9" t="s">
        <v>4301</v>
      </c>
      <c r="I38" s="1356"/>
      <c r="J38" s="1357"/>
      <c r="K38" s="1357"/>
      <c r="L38" s="1357"/>
      <c r="M38" s="1357"/>
      <c r="N38" s="1358"/>
      <c r="O38" s="194"/>
      <c r="P38" s="194"/>
      <c r="Q38" s="194"/>
      <c r="R38" s="194"/>
    </row>
    <row r="39" spans="1:18" ht="14.25" customHeight="1" x14ac:dyDescent="0.25">
      <c r="A39" s="262"/>
      <c r="B39" s="111" t="s">
        <v>5208</v>
      </c>
      <c r="C39" s="112"/>
      <c r="D39" s="113"/>
      <c r="E39" s="114"/>
      <c r="F39" s="115"/>
      <c r="H39" s="262"/>
      <c r="I39" s="1356"/>
      <c r="J39" s="1357"/>
      <c r="K39" s="1357"/>
      <c r="L39" s="1357"/>
      <c r="M39" s="1357"/>
      <c r="N39" s="1358"/>
      <c r="O39" s="194"/>
      <c r="P39" s="194"/>
      <c r="Q39" s="194"/>
      <c r="R39" s="194"/>
    </row>
    <row r="40" spans="1:18" ht="14.25" customHeight="1" x14ac:dyDescent="0.25">
      <c r="A40" s="261"/>
      <c r="B40" s="491" t="s">
        <v>3948</v>
      </c>
      <c r="C40" s="117" t="s">
        <v>5201</v>
      </c>
      <c r="D40" s="118"/>
      <c r="E40" s="118"/>
      <c r="F40" s="119"/>
      <c r="H40" s="26"/>
      <c r="I40" s="1356"/>
      <c r="J40" s="1357"/>
      <c r="K40" s="1357"/>
      <c r="L40" s="1357"/>
      <c r="M40" s="1357"/>
      <c r="N40" s="1358"/>
      <c r="O40" s="194"/>
      <c r="P40" s="194"/>
      <c r="Q40" s="194"/>
      <c r="R40" s="194"/>
    </row>
    <row r="41" spans="1:18" ht="15.75" thickBot="1" x14ac:dyDescent="0.3">
      <c r="A41" s="261"/>
      <c r="B41" s="37" t="s">
        <v>3095</v>
      </c>
      <c r="C41" s="130">
        <f>'Development Team'!D6</f>
        <v>0</v>
      </c>
      <c r="D41" s="147"/>
      <c r="E41" s="957"/>
      <c r="H41" s="26"/>
      <c r="I41" s="1359"/>
      <c r="J41" s="1360"/>
      <c r="K41" s="1360"/>
      <c r="L41" s="1360"/>
      <c r="M41" s="1360"/>
      <c r="N41" s="1361"/>
      <c r="O41" s="194"/>
      <c r="P41" s="194"/>
      <c r="Q41" s="194"/>
      <c r="R41" s="194"/>
    </row>
    <row r="42" spans="1:18" ht="15" x14ac:dyDescent="0.25">
      <c r="A42" s="261"/>
      <c r="B42" s="37" t="s">
        <v>5203</v>
      </c>
      <c r="C42" s="1016"/>
      <c r="D42" s="147"/>
      <c r="E42" s="957"/>
      <c r="G42" s="26"/>
      <c r="H42" s="26"/>
      <c r="I42" s="26"/>
      <c r="J42" s="26"/>
      <c r="K42" s="26"/>
      <c r="L42" s="26"/>
      <c r="M42" s="26"/>
      <c r="N42" s="26"/>
      <c r="O42" s="194"/>
      <c r="P42" s="194"/>
      <c r="Q42" s="194"/>
      <c r="R42" s="194"/>
    </row>
    <row r="43" spans="1:18" ht="15" x14ac:dyDescent="0.25">
      <c r="A43" s="261"/>
      <c r="C43" s="1016"/>
      <c r="D43" s="147"/>
      <c r="E43" s="957"/>
      <c r="G43" s="26"/>
      <c r="H43" s="26"/>
      <c r="I43" s="26"/>
      <c r="J43" s="26"/>
      <c r="K43" s="26"/>
      <c r="L43" s="26"/>
      <c r="M43" s="26"/>
      <c r="N43" s="26"/>
      <c r="O43" s="194"/>
      <c r="P43" s="194"/>
      <c r="Q43" s="194"/>
      <c r="R43" s="194"/>
    </row>
    <row r="44" spans="1:18" ht="15" x14ac:dyDescent="0.25">
      <c r="A44" s="261"/>
      <c r="C44" s="1016"/>
      <c r="D44" s="147"/>
      <c r="E44" s="957"/>
      <c r="G44" s="26"/>
      <c r="H44" s="26"/>
      <c r="I44" s="26"/>
      <c r="J44" s="26"/>
      <c r="K44" s="26"/>
      <c r="L44" s="26"/>
      <c r="M44" s="26"/>
      <c r="N44" s="26"/>
      <c r="O44" s="194"/>
      <c r="P44" s="194"/>
      <c r="Q44" s="194"/>
      <c r="R44" s="194"/>
    </row>
    <row r="45" spans="1:18" ht="15" x14ac:dyDescent="0.25">
      <c r="A45" s="261"/>
      <c r="C45" s="1016"/>
      <c r="D45" s="147"/>
      <c r="E45" s="957"/>
      <c r="G45" s="26"/>
      <c r="H45" s="26"/>
      <c r="I45" s="26"/>
      <c r="J45" s="26"/>
      <c r="K45" s="26"/>
      <c r="L45" s="26"/>
      <c r="M45" s="26"/>
      <c r="N45" s="26"/>
      <c r="O45" s="194"/>
      <c r="P45" s="194"/>
      <c r="Q45" s="194"/>
      <c r="R45" s="194"/>
    </row>
    <row r="46" spans="1:18" ht="15" x14ac:dyDescent="0.25">
      <c r="A46" s="261"/>
      <c r="C46" s="1016"/>
      <c r="D46" s="147"/>
      <c r="E46" s="957"/>
      <c r="G46" s="26"/>
      <c r="H46" s="26"/>
      <c r="I46" s="26"/>
      <c r="J46" s="26"/>
      <c r="K46" s="26"/>
      <c r="L46" s="26"/>
      <c r="M46" s="26"/>
      <c r="N46" s="26"/>
      <c r="O46" s="194"/>
      <c r="P46" s="194"/>
      <c r="Q46" s="194"/>
      <c r="R46" s="194"/>
    </row>
    <row r="47" spans="1:18" ht="14.25" customHeight="1" thickBot="1" x14ac:dyDescent="0.3">
      <c r="A47" s="261"/>
      <c r="B47" s="5"/>
      <c r="D47" s="26"/>
      <c r="E47" s="26"/>
      <c r="G47" s="26"/>
      <c r="H47" s="26"/>
      <c r="I47" s="100" t="str">
        <f>IF(F49&lt;&gt;H48, "Doesn't Match Self-Score","")</f>
        <v/>
      </c>
      <c r="J47" s="26"/>
      <c r="K47" s="26"/>
      <c r="L47" s="26"/>
      <c r="M47" s="26"/>
      <c r="N47" s="26"/>
      <c r="O47" s="194"/>
      <c r="P47" s="194"/>
      <c r="Q47" s="194"/>
      <c r="R47" s="194"/>
    </row>
    <row r="48" spans="1:18" ht="24.95" customHeight="1" thickBot="1" x14ac:dyDescent="0.3">
      <c r="A48" s="474" t="s">
        <v>5210</v>
      </c>
      <c r="B48" s="479"/>
      <c r="C48" s="480"/>
      <c r="D48" s="106"/>
      <c r="E48" s="106"/>
      <c r="F48" s="107"/>
      <c r="H48" s="128">
        <f>MAX(H50,H61)</f>
        <v>0</v>
      </c>
      <c r="I48" s="1350" t="s">
        <v>4913</v>
      </c>
      <c r="J48" s="1351"/>
      <c r="K48" s="1351"/>
      <c r="L48" s="1351"/>
      <c r="M48" s="1351"/>
      <c r="N48" s="1352"/>
      <c r="O48" s="194"/>
      <c r="P48" s="194"/>
      <c r="Q48" s="194"/>
      <c r="R48" s="194"/>
    </row>
    <row r="49" spans="1:18" ht="14.25" customHeight="1" x14ac:dyDescent="0.25">
      <c r="A49" s="1367" t="s">
        <v>4620</v>
      </c>
      <c r="B49" s="1368"/>
      <c r="C49" s="1368"/>
      <c r="D49" s="110"/>
      <c r="E49" s="475" t="s">
        <v>3949</v>
      </c>
      <c r="F49" s="476">
        <f>MAX(A50,A61)</f>
        <v>0</v>
      </c>
      <c r="H49" s="9" t="s">
        <v>4911</v>
      </c>
      <c r="I49" s="1353"/>
      <c r="J49" s="1354"/>
      <c r="K49" s="1354"/>
      <c r="L49" s="1354"/>
      <c r="M49" s="1354"/>
      <c r="N49" s="1355"/>
      <c r="O49" s="194"/>
      <c r="P49" s="194"/>
      <c r="Q49" s="194"/>
      <c r="R49" s="194"/>
    </row>
    <row r="50" spans="1:18" ht="14.25" customHeight="1" x14ac:dyDescent="0.25">
      <c r="A50" s="824">
        <f>C53</f>
        <v>0</v>
      </c>
      <c r="B50" s="124" t="s">
        <v>5211</v>
      </c>
      <c r="C50" s="125"/>
      <c r="D50" s="114"/>
      <c r="E50" s="114"/>
      <c r="F50" s="115"/>
      <c r="H50" s="262"/>
      <c r="I50" s="1356"/>
      <c r="J50" s="1357"/>
      <c r="K50" s="1357"/>
      <c r="L50" s="1357"/>
      <c r="M50" s="1357"/>
      <c r="N50" s="1358"/>
      <c r="O50" s="194"/>
      <c r="P50" s="194"/>
      <c r="Q50" s="194"/>
      <c r="R50" s="194"/>
    </row>
    <row r="51" spans="1:18" ht="14.25" customHeight="1" x14ac:dyDescent="0.25">
      <c r="A51" s="261"/>
      <c r="B51" s="491" t="s">
        <v>3948</v>
      </c>
      <c r="C51" s="117" t="s">
        <v>4462</v>
      </c>
      <c r="D51" s="118"/>
      <c r="E51" s="118"/>
      <c r="F51" s="119"/>
      <c r="H51" s="26"/>
      <c r="I51" s="1356"/>
      <c r="J51" s="1357"/>
      <c r="K51" s="1357"/>
      <c r="L51" s="1357"/>
      <c r="M51" s="1357"/>
      <c r="N51" s="1358"/>
      <c r="O51" s="194"/>
      <c r="P51" s="194"/>
      <c r="Q51" s="194"/>
      <c r="R51" s="194"/>
    </row>
    <row r="52" spans="1:18" ht="14.25" customHeight="1" x14ac:dyDescent="0.25">
      <c r="A52" s="261"/>
      <c r="B52" s="37" t="s">
        <v>5004</v>
      </c>
      <c r="C52" s="782"/>
      <c r="D52" s="26"/>
      <c r="E52" s="26"/>
      <c r="H52" s="26"/>
      <c r="I52" s="1356"/>
      <c r="J52" s="1357"/>
      <c r="K52" s="1357"/>
      <c r="L52" s="1357"/>
      <c r="M52" s="1357"/>
      <c r="N52" s="1358"/>
      <c r="O52" s="194"/>
      <c r="P52" s="194"/>
      <c r="Q52" s="194"/>
      <c r="R52" s="194"/>
    </row>
    <row r="53" spans="1:18" ht="14.25" customHeight="1" x14ac:dyDescent="0.25">
      <c r="A53" s="261"/>
      <c r="B53" s="37" t="s">
        <v>4656</v>
      </c>
      <c r="C53" s="775">
        <f>IF(C52="Onsite fitness area",5,IF(C52="Facility partnership",5,IF(C52="Onsite health/wellness clinic",5,0)))</f>
        <v>0</v>
      </c>
      <c r="D53" s="26"/>
      <c r="E53" s="26"/>
      <c r="H53" s="26"/>
      <c r="I53" s="1356"/>
      <c r="J53" s="1357"/>
      <c r="K53" s="1357"/>
      <c r="L53" s="1357"/>
      <c r="M53" s="1357"/>
      <c r="N53" s="1358"/>
      <c r="O53" s="194"/>
      <c r="P53" s="194"/>
      <c r="Q53" s="194"/>
      <c r="R53" s="194"/>
    </row>
    <row r="54" spans="1:18" ht="14.25" customHeight="1" x14ac:dyDescent="0.25">
      <c r="A54" s="261"/>
      <c r="B54" s="5"/>
      <c r="C54" s="26"/>
      <c r="D54" s="26"/>
      <c r="E54" s="26"/>
      <c r="H54" s="26"/>
      <c r="I54" s="1356"/>
      <c r="J54" s="1357"/>
      <c r="K54" s="1357"/>
      <c r="L54" s="1357"/>
      <c r="M54" s="1357"/>
      <c r="N54" s="1358"/>
      <c r="O54" s="194"/>
      <c r="P54" s="194"/>
      <c r="Q54" s="194"/>
      <c r="R54" s="194"/>
    </row>
    <row r="55" spans="1:18" ht="32.25" customHeight="1" x14ac:dyDescent="0.2">
      <c r="A55" s="493"/>
      <c r="B55" s="494" t="s">
        <v>4463</v>
      </c>
      <c r="C55" s="1369" t="s">
        <v>4466</v>
      </c>
      <c r="D55" s="1369"/>
      <c r="E55" s="1369"/>
      <c r="F55" s="1369"/>
      <c r="H55" s="26"/>
      <c r="I55" s="1356"/>
      <c r="J55" s="1357"/>
      <c r="K55" s="1357"/>
      <c r="L55" s="1357"/>
      <c r="M55" s="1357"/>
      <c r="N55" s="1358"/>
      <c r="O55" s="194"/>
      <c r="P55" s="194"/>
      <c r="Q55" s="194"/>
      <c r="R55" s="194"/>
    </row>
    <row r="56" spans="1:18" ht="14.25" customHeight="1" x14ac:dyDescent="0.2">
      <c r="A56" s="493"/>
      <c r="B56" s="5"/>
      <c r="C56" s="26"/>
      <c r="D56" s="26"/>
      <c r="E56" s="26"/>
      <c r="H56" s="26"/>
      <c r="I56" s="1356"/>
      <c r="J56" s="1357"/>
      <c r="K56" s="1357"/>
      <c r="L56" s="1357"/>
      <c r="M56" s="1357"/>
      <c r="N56" s="1358"/>
      <c r="O56" s="194"/>
      <c r="P56" s="194"/>
      <c r="Q56" s="194"/>
      <c r="R56" s="194"/>
    </row>
    <row r="57" spans="1:18" ht="45" customHeight="1" x14ac:dyDescent="0.2">
      <c r="A57" s="493"/>
      <c r="B57" s="494" t="s">
        <v>4464</v>
      </c>
      <c r="C57" s="1369" t="s">
        <v>4467</v>
      </c>
      <c r="D57" s="1369"/>
      <c r="E57" s="1369"/>
      <c r="F57" s="1369"/>
      <c r="H57" s="26"/>
      <c r="I57" s="1356"/>
      <c r="J57" s="1357"/>
      <c r="K57" s="1357"/>
      <c r="L57" s="1357"/>
      <c r="M57" s="1357"/>
      <c r="N57" s="1358"/>
      <c r="O57" s="194"/>
      <c r="P57" s="194"/>
      <c r="Q57" s="194"/>
      <c r="R57" s="194"/>
    </row>
    <row r="58" spans="1:18" ht="14.25" customHeight="1" x14ac:dyDescent="0.2">
      <c r="A58" s="493"/>
      <c r="B58" s="5"/>
      <c r="C58" s="26"/>
      <c r="D58" s="26"/>
      <c r="E58" s="26"/>
      <c r="H58" s="26"/>
      <c r="I58" s="1356"/>
      <c r="J58" s="1357"/>
      <c r="K58" s="1357"/>
      <c r="L58" s="1357"/>
      <c r="M58" s="1357"/>
      <c r="N58" s="1358"/>
      <c r="O58" s="194"/>
      <c r="P58" s="194"/>
      <c r="Q58" s="194"/>
      <c r="R58" s="194"/>
    </row>
    <row r="59" spans="1:18" ht="45.75" customHeight="1" x14ac:dyDescent="0.2">
      <c r="A59" s="493"/>
      <c r="B59" s="494" t="s">
        <v>4465</v>
      </c>
      <c r="C59" s="1369" t="s">
        <v>4468</v>
      </c>
      <c r="D59" s="1369"/>
      <c r="E59" s="1369"/>
      <c r="F59" s="1369"/>
      <c r="H59" s="26"/>
      <c r="I59" s="1356"/>
      <c r="J59" s="1357"/>
      <c r="K59" s="1357"/>
      <c r="L59" s="1357"/>
      <c r="M59" s="1357"/>
      <c r="N59" s="1358"/>
      <c r="O59" s="194"/>
      <c r="P59" s="194"/>
      <c r="Q59" s="194"/>
      <c r="R59" s="194"/>
    </row>
    <row r="60" spans="1:18" ht="14.25" customHeight="1" x14ac:dyDescent="0.25">
      <c r="A60" s="261"/>
      <c r="B60" s="5"/>
      <c r="C60" s="26"/>
      <c r="D60" s="26"/>
      <c r="E60" s="26"/>
      <c r="H60" s="9" t="s">
        <v>4912</v>
      </c>
      <c r="I60" s="1356"/>
      <c r="J60" s="1357"/>
      <c r="K60" s="1357"/>
      <c r="L60" s="1357"/>
      <c r="M60" s="1357"/>
      <c r="N60" s="1358"/>
      <c r="O60" s="194"/>
      <c r="P60" s="194"/>
      <c r="Q60" s="194"/>
      <c r="R60" s="194"/>
    </row>
    <row r="61" spans="1:18" ht="14.25" customHeight="1" x14ac:dyDescent="0.25">
      <c r="A61" s="824">
        <f>IF(F70&gt;5,5,F70)</f>
        <v>0</v>
      </c>
      <c r="B61" s="124" t="s">
        <v>5212</v>
      </c>
      <c r="C61" s="125"/>
      <c r="D61" s="114"/>
      <c r="E61" s="114"/>
      <c r="F61" s="115"/>
      <c r="H61" s="262"/>
      <c r="I61" s="1356"/>
      <c r="J61" s="1357"/>
      <c r="K61" s="1357"/>
      <c r="L61" s="1357"/>
      <c r="M61" s="1357"/>
      <c r="N61" s="1358"/>
      <c r="O61" s="194"/>
      <c r="P61" s="194"/>
      <c r="Q61" s="194"/>
      <c r="R61" s="194"/>
    </row>
    <row r="62" spans="1:18" ht="28.5" customHeight="1" x14ac:dyDescent="0.25">
      <c r="A62" s="261"/>
      <c r="B62" s="490" t="s">
        <v>3948</v>
      </c>
      <c r="C62" s="1260" t="s">
        <v>4443</v>
      </c>
      <c r="D62" s="1260"/>
      <c r="E62" s="1260"/>
      <c r="F62" s="1261"/>
      <c r="H62" s="26"/>
      <c r="I62" s="1356"/>
      <c r="J62" s="1357"/>
      <c r="K62" s="1357"/>
      <c r="L62" s="1357"/>
      <c r="M62" s="1357"/>
      <c r="N62" s="1358"/>
      <c r="O62" s="194"/>
      <c r="P62" s="194"/>
      <c r="Q62" s="194"/>
      <c r="R62" s="194"/>
    </row>
    <row r="63" spans="1:18" ht="15" x14ac:dyDescent="0.25">
      <c r="A63" s="261"/>
      <c r="B63" s="501" t="s">
        <v>4476</v>
      </c>
      <c r="C63" s="1370" t="s">
        <v>4469</v>
      </c>
      <c r="D63" s="1370"/>
      <c r="E63" s="263"/>
      <c r="F63" s="775">
        <f>IF(E63="Yes", 1, 0)</f>
        <v>0</v>
      </c>
      <c r="H63" s="26"/>
      <c r="I63" s="1356"/>
      <c r="J63" s="1357"/>
      <c r="K63" s="1357"/>
      <c r="L63" s="1357"/>
      <c r="M63" s="1357"/>
      <c r="N63" s="1358"/>
      <c r="O63" s="194"/>
      <c r="P63" s="194"/>
      <c r="Q63" s="194"/>
      <c r="R63" s="194"/>
    </row>
    <row r="64" spans="1:18" ht="14.25" customHeight="1" x14ac:dyDescent="0.2">
      <c r="A64" s="493"/>
      <c r="B64" s="5"/>
      <c r="C64" s="1370" t="s">
        <v>4470</v>
      </c>
      <c r="D64" s="1370"/>
      <c r="E64" s="263"/>
      <c r="F64" s="775">
        <f>IF(E64="Yes", 2, 0)</f>
        <v>0</v>
      </c>
      <c r="H64" s="26"/>
      <c r="I64" s="1356"/>
      <c r="J64" s="1357"/>
      <c r="K64" s="1357"/>
      <c r="L64" s="1357"/>
      <c r="M64" s="1357"/>
      <c r="N64" s="1358"/>
      <c r="O64" s="194"/>
      <c r="P64" s="194"/>
      <c r="Q64" s="194"/>
      <c r="R64" s="194"/>
    </row>
    <row r="65" spans="1:18" ht="14.25" customHeight="1" x14ac:dyDescent="0.2">
      <c r="A65" s="493"/>
      <c r="B65" s="101"/>
      <c r="C65" s="1370" t="s">
        <v>4471</v>
      </c>
      <c r="D65" s="1370"/>
      <c r="E65" s="263"/>
      <c r="F65" s="775">
        <f>IF(E65="Yes", 2, 0)</f>
        <v>0</v>
      </c>
      <c r="H65" s="26"/>
      <c r="I65" s="1356"/>
      <c r="J65" s="1357"/>
      <c r="K65" s="1357"/>
      <c r="L65" s="1357"/>
      <c r="M65" s="1357"/>
      <c r="N65" s="1358"/>
      <c r="O65" s="194"/>
      <c r="P65" s="194"/>
      <c r="Q65" s="194"/>
      <c r="R65" s="194"/>
    </row>
    <row r="66" spans="1:18" ht="14.25" customHeight="1" x14ac:dyDescent="0.2">
      <c r="A66" s="493"/>
      <c r="B66" s="5"/>
      <c r="C66" s="1370" t="s">
        <v>4472</v>
      </c>
      <c r="D66" s="1370"/>
      <c r="E66" s="263"/>
      <c r="F66" s="775">
        <f>IF(E66="Yes", 2, 0)</f>
        <v>0</v>
      </c>
      <c r="H66" s="26"/>
      <c r="I66" s="1356"/>
      <c r="J66" s="1357"/>
      <c r="K66" s="1357"/>
      <c r="L66" s="1357"/>
      <c r="M66" s="1357"/>
      <c r="N66" s="1358"/>
      <c r="O66" s="194"/>
      <c r="P66" s="194"/>
      <c r="Q66" s="194"/>
      <c r="R66" s="194"/>
    </row>
    <row r="67" spans="1:18" ht="14.25" customHeight="1" x14ac:dyDescent="0.2">
      <c r="A67" s="493"/>
      <c r="B67" s="101"/>
      <c r="C67" s="1370" t="s">
        <v>4473</v>
      </c>
      <c r="D67" s="1370"/>
      <c r="E67" s="263"/>
      <c r="F67" s="775">
        <f>IF(E67="Yes", 5, 0)</f>
        <v>0</v>
      </c>
      <c r="H67" s="26"/>
      <c r="I67" s="1356"/>
      <c r="J67" s="1357"/>
      <c r="K67" s="1357"/>
      <c r="L67" s="1357"/>
      <c r="M67" s="1357"/>
      <c r="N67" s="1358"/>
      <c r="O67" s="194"/>
      <c r="P67" s="194"/>
      <c r="Q67" s="194"/>
      <c r="R67" s="194"/>
    </row>
    <row r="68" spans="1:18" ht="14.25" customHeight="1" x14ac:dyDescent="0.2">
      <c r="A68" s="493"/>
      <c r="B68" s="101"/>
      <c r="C68" s="1370" t="s">
        <v>4474</v>
      </c>
      <c r="D68" s="1370"/>
      <c r="E68" s="263"/>
      <c r="F68" s="775">
        <f>IF(E68="Yes", 5, 0)</f>
        <v>0</v>
      </c>
      <c r="H68" s="26"/>
      <c r="I68" s="1356"/>
      <c r="J68" s="1357"/>
      <c r="K68" s="1357"/>
      <c r="L68" s="1357"/>
      <c r="M68" s="1357"/>
      <c r="N68" s="1358"/>
      <c r="O68" s="194"/>
      <c r="P68" s="194"/>
      <c r="Q68" s="194"/>
      <c r="R68" s="194"/>
    </row>
    <row r="69" spans="1:18" x14ac:dyDescent="0.2">
      <c r="A69" s="493"/>
      <c r="B69" s="101"/>
      <c r="C69" s="1370" t="s">
        <v>4475</v>
      </c>
      <c r="D69" s="1370"/>
      <c r="E69" s="263"/>
      <c r="F69" s="775">
        <f>IF(E69="Yes", 5, 0)</f>
        <v>0</v>
      </c>
      <c r="H69" s="26"/>
      <c r="I69" s="1356"/>
      <c r="J69" s="1357"/>
      <c r="K69" s="1357"/>
      <c r="L69" s="1357"/>
      <c r="M69" s="1357"/>
      <c r="N69" s="1358"/>
      <c r="O69" s="194"/>
      <c r="P69" s="194"/>
      <c r="Q69" s="194"/>
      <c r="R69" s="194"/>
    </row>
    <row r="70" spans="1:18" ht="15" thickBot="1" x14ac:dyDescent="0.25">
      <c r="A70" s="493"/>
      <c r="B70" s="101"/>
      <c r="E70" s="502" t="s">
        <v>3107</v>
      </c>
      <c r="F70" s="775">
        <f>SUM(F63:F69)</f>
        <v>0</v>
      </c>
      <c r="H70" s="26"/>
      <c r="I70" s="1359"/>
      <c r="J70" s="1360"/>
      <c r="K70" s="1360"/>
      <c r="L70" s="1360"/>
      <c r="M70" s="1360"/>
      <c r="N70" s="1361"/>
      <c r="O70" s="194"/>
      <c r="P70" s="194"/>
      <c r="Q70" s="194"/>
      <c r="R70" s="194"/>
    </row>
    <row r="71" spans="1:18" ht="14.25" customHeight="1" thickBot="1" x14ac:dyDescent="0.3">
      <c r="A71" s="261"/>
      <c r="B71" s="5"/>
      <c r="C71" s="26"/>
      <c r="D71" s="26"/>
      <c r="E71" s="26"/>
      <c r="H71" s="26"/>
      <c r="I71" s="100" t="str">
        <f>IF(H72&lt;&gt;F73,"Doesn't Match Self-Score","")</f>
        <v/>
      </c>
      <c r="J71" s="814"/>
      <c r="K71" s="814"/>
      <c r="L71" s="814"/>
      <c r="M71" s="814"/>
      <c r="N71" s="814"/>
      <c r="O71" s="194"/>
      <c r="P71" s="194"/>
      <c r="Q71" s="194"/>
      <c r="R71" s="194"/>
    </row>
    <row r="72" spans="1:18" ht="24.95" customHeight="1" thickBot="1" x14ac:dyDescent="0.3">
      <c r="A72" s="474" t="s">
        <v>5213</v>
      </c>
      <c r="B72" s="479"/>
      <c r="C72" s="480"/>
      <c r="D72" s="106"/>
      <c r="E72" s="477"/>
      <c r="F72" s="478"/>
      <c r="H72" s="128">
        <f>MAX(H74,H79,H84)</f>
        <v>0</v>
      </c>
      <c r="I72" s="1350" t="s">
        <v>4914</v>
      </c>
      <c r="J72" s="1351"/>
      <c r="K72" s="1351"/>
      <c r="L72" s="1351"/>
      <c r="M72" s="1351"/>
      <c r="N72" s="1352"/>
      <c r="O72" s="194"/>
      <c r="P72" s="194"/>
      <c r="Q72" s="194"/>
      <c r="R72" s="194"/>
    </row>
    <row r="73" spans="1:18" ht="14.25" customHeight="1" x14ac:dyDescent="0.25">
      <c r="A73" s="1367" t="s">
        <v>4621</v>
      </c>
      <c r="B73" s="1368"/>
      <c r="C73" s="1368"/>
      <c r="D73" s="110"/>
      <c r="E73" s="475" t="s">
        <v>3949</v>
      </c>
      <c r="F73" s="476">
        <f>MAX(A74,A79,A84)</f>
        <v>0</v>
      </c>
      <c r="H73" s="9" t="s">
        <v>4736</v>
      </c>
      <c r="I73" s="1353"/>
      <c r="J73" s="1354"/>
      <c r="K73" s="1354"/>
      <c r="L73" s="1354"/>
      <c r="M73" s="1354"/>
      <c r="N73" s="1355"/>
      <c r="O73" s="194"/>
      <c r="P73" s="194"/>
      <c r="Q73" s="194"/>
      <c r="R73" s="194"/>
    </row>
    <row r="74" spans="1:18" ht="14.25" customHeight="1" x14ac:dyDescent="0.25">
      <c r="A74" s="823">
        <f>C77</f>
        <v>0</v>
      </c>
      <c r="B74" s="124" t="s">
        <v>5214</v>
      </c>
      <c r="C74" s="125"/>
      <c r="D74" s="114"/>
      <c r="E74" s="114"/>
      <c r="F74" s="115"/>
      <c r="H74" s="262"/>
      <c r="I74" s="1356"/>
      <c r="J74" s="1357"/>
      <c r="K74" s="1357"/>
      <c r="L74" s="1357"/>
      <c r="M74" s="1357"/>
      <c r="N74" s="1358"/>
      <c r="O74" s="194"/>
      <c r="P74" s="194"/>
      <c r="Q74" s="194"/>
      <c r="R74" s="194"/>
    </row>
    <row r="75" spans="1:18" ht="14.25" customHeight="1" x14ac:dyDescent="0.25">
      <c r="A75" s="261"/>
      <c r="B75" s="491" t="s">
        <v>3948</v>
      </c>
      <c r="C75" s="117" t="s">
        <v>4441</v>
      </c>
      <c r="D75" s="118"/>
      <c r="E75" s="118"/>
      <c r="F75" s="119"/>
      <c r="H75" s="26"/>
      <c r="I75" s="1356"/>
      <c r="J75" s="1357"/>
      <c r="K75" s="1357"/>
      <c r="L75" s="1357"/>
      <c r="M75" s="1357"/>
      <c r="N75" s="1358"/>
      <c r="O75" s="194"/>
      <c r="P75" s="194"/>
      <c r="Q75" s="194"/>
      <c r="R75" s="194"/>
    </row>
    <row r="76" spans="1:18" ht="14.25" customHeight="1" x14ac:dyDescent="0.25">
      <c r="A76" s="261"/>
      <c r="B76" s="37" t="s">
        <v>4682</v>
      </c>
      <c r="C76" s="779">
        <f>'Budget &amp; Costs'!I59</f>
        <v>0</v>
      </c>
      <c r="D76" s="26"/>
      <c r="E76" s="26"/>
      <c r="H76" s="26"/>
      <c r="I76" s="1356"/>
      <c r="J76" s="1357"/>
      <c r="K76" s="1357"/>
      <c r="L76" s="1357"/>
      <c r="M76" s="1357"/>
      <c r="N76" s="1358"/>
      <c r="O76" s="194"/>
      <c r="P76" s="194"/>
      <c r="Q76" s="194"/>
      <c r="R76" s="194"/>
    </row>
    <row r="77" spans="1:18" ht="14.25" customHeight="1" x14ac:dyDescent="0.25">
      <c r="A77" s="261"/>
      <c r="B77" s="37" t="s">
        <v>4656</v>
      </c>
      <c r="C77" s="780">
        <f>IF(C76&gt;19.9999%,10, 0)</f>
        <v>0</v>
      </c>
      <c r="D77" s="26"/>
      <c r="E77" s="26"/>
      <c r="H77" s="26"/>
      <c r="I77" s="1356"/>
      <c r="J77" s="1357"/>
      <c r="K77" s="1357"/>
      <c r="L77" s="1357"/>
      <c r="M77" s="1357"/>
      <c r="N77" s="1358"/>
      <c r="O77" s="194"/>
      <c r="P77" s="194"/>
      <c r="Q77" s="194"/>
      <c r="R77" s="194"/>
    </row>
    <row r="78" spans="1:18" ht="14.25" customHeight="1" x14ac:dyDescent="0.25">
      <c r="A78" s="261"/>
      <c r="B78" s="5"/>
      <c r="C78"/>
      <c r="D78" s="26"/>
      <c r="E78" s="26"/>
      <c r="H78" s="9" t="s">
        <v>4763</v>
      </c>
      <c r="I78" s="1356"/>
      <c r="J78" s="1357"/>
      <c r="K78" s="1357"/>
      <c r="L78" s="1357"/>
      <c r="M78" s="1357"/>
      <c r="N78" s="1358"/>
      <c r="O78" s="194"/>
      <c r="P78" s="194"/>
      <c r="Q78" s="194"/>
      <c r="R78" s="194"/>
    </row>
    <row r="79" spans="1:18" ht="14.25" customHeight="1" x14ac:dyDescent="0.25">
      <c r="A79" s="823">
        <f>C82</f>
        <v>0</v>
      </c>
      <c r="B79" s="124" t="s">
        <v>5215</v>
      </c>
      <c r="C79" s="125"/>
      <c r="D79" s="114"/>
      <c r="E79" s="114"/>
      <c r="F79" s="115"/>
      <c r="H79" s="262"/>
      <c r="I79" s="1356"/>
      <c r="J79" s="1357"/>
      <c r="K79" s="1357"/>
      <c r="L79" s="1357"/>
      <c r="M79" s="1357"/>
      <c r="N79" s="1358"/>
      <c r="O79" s="194"/>
      <c r="P79" s="194"/>
      <c r="Q79" s="194"/>
      <c r="R79" s="194"/>
    </row>
    <row r="80" spans="1:18" ht="14.25" customHeight="1" x14ac:dyDescent="0.25">
      <c r="A80" s="261"/>
      <c r="B80" s="491" t="s">
        <v>3948</v>
      </c>
      <c r="C80" s="117" t="s">
        <v>4442</v>
      </c>
      <c r="D80" s="118"/>
      <c r="E80" s="118"/>
      <c r="F80" s="119"/>
      <c r="H80" s="26"/>
      <c r="I80" s="1356"/>
      <c r="J80" s="1357"/>
      <c r="K80" s="1357"/>
      <c r="L80" s="1357"/>
      <c r="M80" s="1357"/>
      <c r="N80" s="1358"/>
      <c r="O80" s="194"/>
      <c r="P80" s="194"/>
      <c r="Q80" s="194"/>
      <c r="R80" s="194"/>
    </row>
    <row r="81" spans="1:18" ht="14.25" customHeight="1" x14ac:dyDescent="0.25">
      <c r="A81" s="261"/>
      <c r="B81" s="37" t="s">
        <v>4681</v>
      </c>
      <c r="C81" s="778">
        <f>'Budget &amp; Costs'!F53</f>
        <v>0</v>
      </c>
      <c r="D81" s="26"/>
      <c r="E81" s="26"/>
      <c r="H81" s="26"/>
      <c r="I81" s="1356"/>
      <c r="J81" s="1357"/>
      <c r="K81" s="1357"/>
      <c r="L81" s="1357"/>
      <c r="M81" s="1357"/>
      <c r="N81" s="1358"/>
      <c r="O81" s="194"/>
      <c r="P81" s="194"/>
      <c r="Q81" s="194"/>
      <c r="R81" s="194"/>
    </row>
    <row r="82" spans="1:18" ht="14.25" customHeight="1" x14ac:dyDescent="0.25">
      <c r="A82" s="261"/>
      <c r="B82" s="37" t="s">
        <v>4656</v>
      </c>
      <c r="C82" s="781">
        <f>IF(C81&gt;14.99%,10, 0)</f>
        <v>0</v>
      </c>
      <c r="D82" s="26"/>
      <c r="E82" s="26"/>
      <c r="H82" s="26"/>
      <c r="I82" s="1356"/>
      <c r="J82" s="1357"/>
      <c r="K82" s="1357"/>
      <c r="L82" s="1357"/>
      <c r="M82" s="1357"/>
      <c r="N82" s="1358"/>
      <c r="O82" s="194"/>
      <c r="P82" s="194"/>
      <c r="Q82" s="194"/>
      <c r="R82" s="194"/>
    </row>
    <row r="83" spans="1:18" ht="14.25" customHeight="1" x14ac:dyDescent="0.25">
      <c r="A83" s="261"/>
      <c r="B83" s="5"/>
      <c r="C83"/>
      <c r="D83" s="26"/>
      <c r="E83" s="26"/>
      <c r="H83" s="9" t="s">
        <v>4302</v>
      </c>
      <c r="I83" s="1356"/>
      <c r="J83" s="1357"/>
      <c r="K83" s="1357"/>
      <c r="L83" s="1357"/>
      <c r="M83" s="1357"/>
      <c r="N83" s="1358"/>
      <c r="O83" s="194"/>
      <c r="P83" s="194"/>
      <c r="Q83" s="194"/>
      <c r="R83" s="194"/>
    </row>
    <row r="84" spans="1:18" ht="14.25" customHeight="1" x14ac:dyDescent="0.25">
      <c r="A84" s="823">
        <f>C88</f>
        <v>0</v>
      </c>
      <c r="B84" s="124" t="s">
        <v>5216</v>
      </c>
      <c r="C84" s="125"/>
      <c r="D84" s="114"/>
      <c r="E84" s="114"/>
      <c r="F84" s="115"/>
      <c r="H84" s="262"/>
      <c r="I84" s="1356"/>
      <c r="J84" s="1357"/>
      <c r="K84" s="1357"/>
      <c r="L84" s="1357"/>
      <c r="M84" s="1357"/>
      <c r="N84" s="1358"/>
      <c r="O84" s="194"/>
      <c r="P84" s="194"/>
      <c r="Q84" s="194"/>
      <c r="R84" s="194"/>
    </row>
    <row r="85" spans="1:18" ht="14.25" customHeight="1" x14ac:dyDescent="0.25">
      <c r="A85" s="261"/>
      <c r="B85" s="491" t="s">
        <v>3948</v>
      </c>
      <c r="C85" s="117" t="s">
        <v>4441</v>
      </c>
      <c r="D85" s="118"/>
      <c r="E85" s="118"/>
      <c r="F85" s="119"/>
      <c r="H85" s="26"/>
      <c r="I85" s="1356"/>
      <c r="J85" s="1357"/>
      <c r="K85" s="1357"/>
      <c r="L85" s="1357"/>
      <c r="M85" s="1357"/>
      <c r="N85" s="1358"/>
      <c r="O85" s="194"/>
      <c r="P85" s="194"/>
      <c r="Q85" s="194"/>
      <c r="R85" s="194"/>
    </row>
    <row r="86" spans="1:18" ht="14.25" customHeight="1" x14ac:dyDescent="0.25">
      <c r="A86" s="261"/>
      <c r="B86" s="37" t="s">
        <v>3950</v>
      </c>
      <c r="C86" s="779">
        <f>'Budget &amp; Costs'!E52</f>
        <v>0</v>
      </c>
      <c r="D86" s="26"/>
      <c r="E86" s="26"/>
      <c r="H86" s="26"/>
      <c r="I86" s="1356"/>
      <c r="J86" s="1357"/>
      <c r="K86" s="1357"/>
      <c r="L86" s="1357"/>
      <c r="M86" s="1357"/>
      <c r="N86" s="1358"/>
      <c r="O86" s="194"/>
      <c r="P86" s="194"/>
      <c r="Q86" s="194"/>
      <c r="R86" s="194"/>
    </row>
    <row r="87" spans="1:18" ht="14.25" customHeight="1" x14ac:dyDescent="0.25">
      <c r="A87" s="261"/>
      <c r="B87" s="37" t="s">
        <v>5204</v>
      </c>
      <c r="C87" s="1017"/>
      <c r="D87" s="26"/>
      <c r="E87" s="26"/>
      <c r="H87" s="26"/>
      <c r="I87" s="1356"/>
      <c r="J87" s="1357"/>
      <c r="K87" s="1357"/>
      <c r="L87" s="1357"/>
      <c r="M87" s="1357"/>
      <c r="N87" s="1358"/>
      <c r="O87" s="194"/>
      <c r="P87" s="194"/>
      <c r="Q87" s="194"/>
      <c r="R87" s="194"/>
    </row>
    <row r="88" spans="1:18" ht="14.25" customHeight="1" thickBot="1" x14ac:dyDescent="0.3">
      <c r="A88" s="261"/>
      <c r="B88" s="37" t="s">
        <v>4656</v>
      </c>
      <c r="C88" s="772">
        <f>IF(C86&gt;4.99%,10,0)</f>
        <v>0</v>
      </c>
      <c r="D88" s="26"/>
      <c r="E88" s="26"/>
      <c r="H88" s="26"/>
      <c r="I88" s="1359"/>
      <c r="J88" s="1360"/>
      <c r="K88" s="1360"/>
      <c r="L88" s="1360"/>
      <c r="M88" s="1360"/>
      <c r="N88" s="1361"/>
      <c r="O88" s="194"/>
      <c r="P88" s="194"/>
      <c r="Q88" s="194"/>
      <c r="R88" s="194"/>
    </row>
    <row r="89" spans="1:18" ht="18" customHeight="1" thickBot="1" x14ac:dyDescent="0.3">
      <c r="A89" s="261"/>
      <c r="B89" s="5"/>
      <c r="C89"/>
      <c r="D89" s="26"/>
      <c r="E89" s="26"/>
      <c r="H89" s="26"/>
      <c r="I89" s="100" t="str">
        <f>IF(H90&lt;&gt;F91,"Doesn't Match Self-Score","")</f>
        <v/>
      </c>
      <c r="J89" s="815"/>
      <c r="K89" s="815"/>
      <c r="L89" s="815"/>
      <c r="M89" s="815"/>
      <c r="N89" s="815"/>
      <c r="O89" s="194"/>
      <c r="P89" s="194"/>
      <c r="Q89" s="194"/>
      <c r="R89" s="194"/>
    </row>
    <row r="90" spans="1:18" ht="24.95" customHeight="1" thickBot="1" x14ac:dyDescent="0.3">
      <c r="A90" s="474" t="s">
        <v>5250</v>
      </c>
      <c r="B90" s="479"/>
      <c r="C90" s="480"/>
      <c r="D90" s="106"/>
      <c r="E90" s="106"/>
      <c r="F90" s="107"/>
      <c r="H90" s="128">
        <f>SUM(H92,H97)</f>
        <v>0</v>
      </c>
      <c r="I90" s="1350" t="s">
        <v>4915</v>
      </c>
      <c r="J90" s="1351"/>
      <c r="K90" s="1351"/>
      <c r="L90" s="1351"/>
      <c r="M90" s="1351"/>
      <c r="N90" s="1352"/>
      <c r="O90" s="194"/>
      <c r="P90" s="194"/>
      <c r="Q90" s="194"/>
      <c r="R90" s="194"/>
    </row>
    <row r="91" spans="1:18" ht="14.25" customHeight="1" x14ac:dyDescent="0.25">
      <c r="A91" s="1367" t="s">
        <v>4408</v>
      </c>
      <c r="B91" s="1368"/>
      <c r="C91" s="1368"/>
      <c r="D91" s="110"/>
      <c r="E91" s="475" t="s">
        <v>3949</v>
      </c>
      <c r="F91" s="813">
        <f>SUM(A92,A97)</f>
        <v>0</v>
      </c>
      <c r="H91" s="9" t="s">
        <v>5227</v>
      </c>
      <c r="I91" s="1353"/>
      <c r="J91" s="1354"/>
      <c r="K91" s="1354"/>
      <c r="L91" s="1354"/>
      <c r="M91" s="1354"/>
      <c r="N91" s="1355"/>
      <c r="O91" s="194"/>
      <c r="P91" s="194"/>
      <c r="Q91" s="194"/>
      <c r="R91" s="194"/>
    </row>
    <row r="92" spans="1:18" ht="14.25" customHeight="1" x14ac:dyDescent="0.25">
      <c r="A92" s="823">
        <f>C95</f>
        <v>0</v>
      </c>
      <c r="B92" s="753" t="s">
        <v>5217</v>
      </c>
      <c r="C92" s="125"/>
      <c r="D92" s="114"/>
      <c r="E92" s="114"/>
      <c r="F92" s="115"/>
      <c r="H92" s="262"/>
      <c r="I92" s="1356"/>
      <c r="J92" s="1357"/>
      <c r="K92" s="1357"/>
      <c r="L92" s="1357"/>
      <c r="M92" s="1357"/>
      <c r="N92" s="1358"/>
      <c r="O92" s="194"/>
      <c r="P92" s="194"/>
      <c r="Q92" s="194"/>
      <c r="R92" s="194"/>
    </row>
    <row r="93" spans="1:18" ht="14.25" customHeight="1" x14ac:dyDescent="0.25">
      <c r="A93" s="261"/>
      <c r="B93" s="491" t="s">
        <v>3948</v>
      </c>
      <c r="C93" s="117" t="s">
        <v>4440</v>
      </c>
      <c r="D93" s="122"/>
      <c r="E93" s="118"/>
      <c r="F93" s="119"/>
      <c r="H93" s="26"/>
      <c r="I93" s="1356"/>
      <c r="J93" s="1357"/>
      <c r="K93" s="1357"/>
      <c r="L93" s="1357"/>
      <c r="M93" s="1357"/>
      <c r="N93" s="1358"/>
      <c r="O93" s="194"/>
      <c r="P93" s="194"/>
      <c r="Q93" s="194"/>
      <c r="R93" s="194"/>
    </row>
    <row r="94" spans="1:18" ht="14.25" customHeight="1" x14ac:dyDescent="0.25">
      <c r="A94" s="261"/>
      <c r="B94" s="37" t="s">
        <v>4869</v>
      </c>
      <c r="C94" s="190"/>
      <c r="D94" s="963"/>
      <c r="E94" s="26"/>
      <c r="H94" s="26"/>
      <c r="I94" s="1356"/>
      <c r="J94" s="1357"/>
      <c r="K94" s="1357"/>
      <c r="L94" s="1357"/>
      <c r="M94" s="1357"/>
      <c r="N94" s="1358"/>
      <c r="O94" s="194"/>
      <c r="P94" s="194"/>
      <c r="Q94" s="194"/>
      <c r="R94" s="194"/>
    </row>
    <row r="95" spans="1:18" ht="14.25" customHeight="1" x14ac:dyDescent="0.25">
      <c r="A95" s="261"/>
      <c r="B95" s="37" t="s">
        <v>4656</v>
      </c>
      <c r="C95" s="783">
        <f>IF(C94="Greater than 66%",5,IF(C94="&gt;48%-66%",3,IF(C94="30%-48%",1, 0)))</f>
        <v>0</v>
      </c>
      <c r="D95" s="26"/>
      <c r="E95" s="26"/>
      <c r="H95" s="26"/>
      <c r="I95" s="1356"/>
      <c r="J95" s="1357"/>
      <c r="K95" s="1357"/>
      <c r="L95" s="1357"/>
      <c r="M95" s="1357"/>
      <c r="N95" s="1358"/>
      <c r="O95" s="194"/>
      <c r="P95" s="194"/>
      <c r="Q95" s="194"/>
      <c r="R95" s="194"/>
    </row>
    <row r="96" spans="1:18" ht="14.25" customHeight="1" x14ac:dyDescent="0.25">
      <c r="A96" s="261"/>
      <c r="B96" s="5"/>
      <c r="C96"/>
      <c r="D96" s="26"/>
      <c r="E96" s="26"/>
      <c r="H96" s="9" t="s">
        <v>5228</v>
      </c>
      <c r="I96" s="1356"/>
      <c r="J96" s="1357"/>
      <c r="K96" s="1357"/>
      <c r="L96" s="1357"/>
      <c r="M96" s="1357"/>
      <c r="N96" s="1358"/>
      <c r="O96" s="194"/>
      <c r="P96" s="194"/>
      <c r="Q96" s="194"/>
      <c r="R96" s="194"/>
    </row>
    <row r="97" spans="1:18" ht="14.25" customHeight="1" x14ac:dyDescent="0.25">
      <c r="A97" s="822">
        <f>C101</f>
        <v>0</v>
      </c>
      <c r="B97" s="753" t="s">
        <v>5218</v>
      </c>
      <c r="C97" s="125"/>
      <c r="D97" s="114"/>
      <c r="E97" s="114"/>
      <c r="F97" s="115"/>
      <c r="H97" s="262"/>
      <c r="I97" s="1356"/>
      <c r="J97" s="1357"/>
      <c r="K97" s="1357"/>
      <c r="L97" s="1357"/>
      <c r="M97" s="1357"/>
      <c r="N97" s="1358"/>
      <c r="O97" s="194"/>
      <c r="P97" s="194"/>
      <c r="Q97" s="194"/>
      <c r="R97" s="194"/>
    </row>
    <row r="98" spans="1:18" ht="14.25" customHeight="1" x14ac:dyDescent="0.25">
      <c r="A98" s="261"/>
      <c r="B98" s="491" t="s">
        <v>3948</v>
      </c>
      <c r="C98" s="117" t="s">
        <v>4634</v>
      </c>
      <c r="D98" s="118"/>
      <c r="E98" s="118"/>
      <c r="F98" s="119"/>
      <c r="H98" s="26"/>
      <c r="I98" s="1356"/>
      <c r="J98" s="1357"/>
      <c r="K98" s="1357"/>
      <c r="L98" s="1357"/>
      <c r="M98" s="1357"/>
      <c r="N98" s="1358"/>
      <c r="O98" s="194"/>
      <c r="P98" s="194"/>
      <c r="Q98" s="194"/>
      <c r="R98" s="194"/>
    </row>
    <row r="99" spans="1:18" ht="14.25" customHeight="1" x14ac:dyDescent="0.25">
      <c r="A99" s="261"/>
      <c r="B99" s="37" t="s">
        <v>5220</v>
      </c>
      <c r="C99" s="960" t="e">
        <f>VLOOKUP('Project Details'!C12,Data!$L$5:$M$92,2,FALSE)</f>
        <v>#N/A</v>
      </c>
      <c r="D99" s="191"/>
      <c r="E99" s="26"/>
      <c r="H99" s="26"/>
      <c r="I99" s="1356"/>
      <c r="J99" s="1357"/>
      <c r="K99" s="1357"/>
      <c r="L99" s="1357"/>
      <c r="M99" s="1357"/>
      <c r="N99" s="1358"/>
      <c r="O99" s="194"/>
      <c r="P99" s="194"/>
      <c r="Q99" s="194"/>
      <c r="R99" s="194"/>
    </row>
    <row r="100" spans="1:18" ht="14.25" customHeight="1" thickBot="1" x14ac:dyDescent="0.3">
      <c r="A100" s="261"/>
      <c r="B100" s="37" t="s">
        <v>4869</v>
      </c>
      <c r="C100" s="1018"/>
      <c r="D100" s="26"/>
      <c r="E100" s="26"/>
      <c r="H100" s="26"/>
      <c r="I100" s="1359"/>
      <c r="J100" s="1360"/>
      <c r="K100" s="1360"/>
      <c r="L100" s="1360"/>
      <c r="M100" s="1360"/>
      <c r="N100" s="1361"/>
      <c r="O100" s="194"/>
      <c r="P100" s="194"/>
      <c r="Q100" s="194"/>
      <c r="R100" s="194"/>
    </row>
    <row r="101" spans="1:18" ht="14.25" customHeight="1" x14ac:dyDescent="0.25">
      <c r="A101" s="261"/>
      <c r="B101" s="37" t="s">
        <v>3899</v>
      </c>
      <c r="C101" s="961">
        <f>IF(C100="Zero",5,IF(C100="Greater than 0 less than 1",4,IF(C100="Greater than 1 Less than 1.5",3,IF(C100="Greater than 1.5 Less than 2",2,IF(C100="Greater than 2",1, 0)))))</f>
        <v>0</v>
      </c>
      <c r="D101" s="26"/>
      <c r="E101" s="26"/>
      <c r="H101" s="26"/>
      <c r="I101" s="962"/>
      <c r="J101" s="962"/>
      <c r="K101" s="962"/>
      <c r="L101" s="962"/>
      <c r="M101" s="962"/>
      <c r="N101" s="962"/>
      <c r="O101" s="194"/>
      <c r="P101" s="194"/>
      <c r="Q101" s="194"/>
      <c r="R101" s="194"/>
    </row>
    <row r="102" spans="1:18" ht="14.25" customHeight="1" thickBot="1" x14ac:dyDescent="0.3">
      <c r="A102" s="261"/>
      <c r="B102" s="5"/>
      <c r="D102" s="26"/>
      <c r="E102" s="26"/>
      <c r="H102" s="26"/>
      <c r="I102" s="100" t="str">
        <f>IF(H103&lt;&gt;F104,"Doesn't Match Self-Score","")</f>
        <v/>
      </c>
      <c r="J102" s="815"/>
      <c r="K102" s="815"/>
      <c r="L102" s="815"/>
      <c r="M102" s="815"/>
      <c r="N102" s="815"/>
      <c r="O102" s="194"/>
      <c r="P102" s="194"/>
      <c r="Q102" s="194"/>
      <c r="R102" s="194"/>
    </row>
    <row r="103" spans="1:18" ht="24.95" customHeight="1" thickBot="1" x14ac:dyDescent="0.3">
      <c r="A103" s="474" t="s">
        <v>5251</v>
      </c>
      <c r="B103" s="479"/>
      <c r="C103" s="480"/>
      <c r="D103" s="106"/>
      <c r="E103" s="106"/>
      <c r="F103" s="107"/>
      <c r="H103" s="128">
        <f>H105</f>
        <v>0</v>
      </c>
      <c r="I103" s="1363" t="s">
        <v>5264</v>
      </c>
      <c r="J103" s="1364"/>
      <c r="K103" s="1364"/>
      <c r="L103" s="1364"/>
      <c r="M103" s="1364"/>
      <c r="N103" s="1365"/>
      <c r="O103" s="194"/>
      <c r="P103" s="194"/>
      <c r="Q103" s="194"/>
      <c r="R103" s="194"/>
    </row>
    <row r="104" spans="1:18" ht="14.25" customHeight="1" x14ac:dyDescent="0.25">
      <c r="A104" s="1367" t="s">
        <v>4407</v>
      </c>
      <c r="B104" s="1368"/>
      <c r="C104" s="1368"/>
      <c r="D104" s="110"/>
      <c r="E104" s="475" t="s">
        <v>3949</v>
      </c>
      <c r="F104" s="813">
        <f>A105</f>
        <v>0</v>
      </c>
      <c r="H104" s="9" t="s">
        <v>5229</v>
      </c>
      <c r="I104" s="1353"/>
      <c r="J104" s="1354"/>
      <c r="K104" s="1354"/>
      <c r="L104" s="1354"/>
      <c r="M104" s="1354"/>
      <c r="N104" s="1355"/>
      <c r="O104" s="194"/>
      <c r="P104" s="194"/>
      <c r="Q104" s="194"/>
      <c r="R104" s="194"/>
    </row>
    <row r="105" spans="1:18" ht="14.25" customHeight="1" x14ac:dyDescent="0.25">
      <c r="A105" s="823">
        <f>C110</f>
        <v>0</v>
      </c>
      <c r="B105" s="124"/>
      <c r="C105" s="125"/>
      <c r="D105" s="114"/>
      <c r="E105" s="114"/>
      <c r="F105" s="115"/>
      <c r="H105" s="262"/>
      <c r="I105" s="1356"/>
      <c r="J105" s="1357"/>
      <c r="K105" s="1357"/>
      <c r="L105" s="1357"/>
      <c r="M105" s="1357"/>
      <c r="N105" s="1358"/>
      <c r="O105" s="194"/>
      <c r="P105" s="194"/>
      <c r="Q105" s="194"/>
      <c r="R105" s="194"/>
    </row>
    <row r="106" spans="1:18" ht="15" x14ac:dyDescent="0.25">
      <c r="A106" s="261"/>
      <c r="B106" s="490" t="s">
        <v>3948</v>
      </c>
      <c r="C106" s="1260" t="s">
        <v>4478</v>
      </c>
      <c r="D106" s="1260"/>
      <c r="E106" s="1260"/>
      <c r="F106" s="1261"/>
      <c r="H106" s="26"/>
      <c r="I106" s="1356"/>
      <c r="J106" s="1357"/>
      <c r="K106" s="1357"/>
      <c r="L106" s="1357"/>
      <c r="M106" s="1357"/>
      <c r="N106" s="1358"/>
      <c r="O106" s="194"/>
      <c r="P106" s="194"/>
      <c r="Q106" s="194"/>
      <c r="R106" s="194"/>
    </row>
    <row r="107" spans="1:18" ht="14.25" customHeight="1" x14ac:dyDescent="0.25">
      <c r="A107" s="261"/>
      <c r="B107" s="37" t="s">
        <v>3896</v>
      </c>
      <c r="C107" s="684">
        <f>'Budget &amp; Costs'!D50</f>
        <v>0</v>
      </c>
      <c r="D107" s="963"/>
      <c r="E107" s="26"/>
      <c r="H107" s="26"/>
      <c r="I107" s="1356"/>
      <c r="J107" s="1357"/>
      <c r="K107" s="1357"/>
      <c r="L107" s="1357"/>
      <c r="M107" s="1357"/>
      <c r="N107" s="1358"/>
      <c r="O107" s="194"/>
      <c r="P107" s="194"/>
      <c r="Q107" s="194"/>
      <c r="R107" s="194"/>
    </row>
    <row r="108" spans="1:18" ht="14.25" customHeight="1" x14ac:dyDescent="0.25">
      <c r="A108" s="261"/>
      <c r="B108" s="37" t="s">
        <v>3897</v>
      </c>
      <c r="C108" s="964">
        <f>'Housing Credits'!C43</f>
        <v>0</v>
      </c>
      <c r="D108" s="26"/>
      <c r="E108" s="26"/>
      <c r="H108" s="26"/>
      <c r="I108" s="1356"/>
      <c r="J108" s="1357"/>
      <c r="K108" s="1357"/>
      <c r="L108" s="1357"/>
      <c r="M108" s="1357"/>
      <c r="N108" s="1358"/>
      <c r="O108" s="194"/>
      <c r="P108" s="194"/>
      <c r="Q108" s="194"/>
      <c r="R108" s="194"/>
    </row>
    <row r="109" spans="1:18" ht="14.25" customHeight="1" x14ac:dyDescent="0.25">
      <c r="A109" s="261"/>
      <c r="B109" s="37" t="s">
        <v>3898</v>
      </c>
      <c r="C109" s="784" t="e">
        <f>C108/C107</f>
        <v>#DIV/0!</v>
      </c>
      <c r="D109" s="26"/>
      <c r="E109" s="26"/>
      <c r="H109" s="26"/>
      <c r="I109" s="1356"/>
      <c r="J109" s="1357"/>
      <c r="K109" s="1357"/>
      <c r="L109" s="1357"/>
      <c r="M109" s="1357"/>
      <c r="N109" s="1358"/>
      <c r="O109" s="194"/>
      <c r="P109" s="194"/>
      <c r="Q109" s="194"/>
      <c r="R109" s="194"/>
    </row>
    <row r="110" spans="1:18" ht="14.25" customHeight="1" thickBot="1" x14ac:dyDescent="0.3">
      <c r="A110" s="261"/>
      <c r="B110" s="37" t="s">
        <v>4867</v>
      </c>
      <c r="C110" s="1019"/>
      <c r="D110" s="26"/>
      <c r="E110" s="26"/>
      <c r="H110" s="26"/>
      <c r="I110" s="1356"/>
      <c r="J110" s="1357"/>
      <c r="K110" s="1357"/>
      <c r="L110" s="1357"/>
      <c r="M110" s="1357"/>
      <c r="N110" s="1358"/>
      <c r="O110" s="194"/>
      <c r="P110" s="194"/>
      <c r="Q110" s="194"/>
      <c r="R110" s="194"/>
    </row>
    <row r="111" spans="1:18" ht="14.25" customHeight="1" x14ac:dyDescent="0.25">
      <c r="A111" s="261"/>
      <c r="B111" s="5"/>
      <c r="C111"/>
      <c r="D111" s="26"/>
      <c r="E111" s="26"/>
      <c r="H111" s="425"/>
      <c r="I111" s="965"/>
      <c r="J111" s="965"/>
      <c r="K111" s="965"/>
      <c r="L111" s="965"/>
      <c r="M111" s="965"/>
      <c r="N111" s="965"/>
      <c r="O111" s="194"/>
      <c r="P111" s="194"/>
      <c r="Q111" s="194"/>
      <c r="R111" s="194"/>
    </row>
    <row r="112" spans="1:18" ht="14.25" customHeight="1" thickBot="1" x14ac:dyDescent="0.3">
      <c r="A112" s="261"/>
      <c r="B112" s="5"/>
      <c r="D112" s="26"/>
      <c r="E112" s="26"/>
      <c r="H112" s="26"/>
      <c r="I112" s="100" t="str">
        <f>IF(H113&lt;&gt;F114,"Doesn't Match Self-Score","")</f>
        <v/>
      </c>
      <c r="J112" s="815"/>
      <c r="K112" s="815"/>
      <c r="L112" s="815"/>
      <c r="M112" s="815"/>
      <c r="N112" s="815"/>
      <c r="O112" s="194"/>
      <c r="P112" s="194"/>
      <c r="Q112" s="194"/>
      <c r="R112" s="194"/>
    </row>
    <row r="113" spans="1:18" ht="24.95" customHeight="1" thickBot="1" x14ac:dyDescent="0.3">
      <c r="A113" s="474" t="s">
        <v>5252</v>
      </c>
      <c r="B113" s="479"/>
      <c r="C113" s="480"/>
      <c r="D113" s="106"/>
      <c r="E113" s="106"/>
      <c r="F113" s="107"/>
      <c r="H113" s="128">
        <f>H115</f>
        <v>0</v>
      </c>
      <c r="I113" s="1350" t="s">
        <v>5265</v>
      </c>
      <c r="J113" s="1351"/>
      <c r="K113" s="1351"/>
      <c r="L113" s="1351"/>
      <c r="M113" s="1351"/>
      <c r="N113" s="1352"/>
      <c r="O113" s="194"/>
      <c r="P113" s="194"/>
      <c r="Q113" s="194"/>
      <c r="R113" s="194"/>
    </row>
    <row r="114" spans="1:18" ht="14.25" customHeight="1" x14ac:dyDescent="0.25">
      <c r="A114" s="1384" t="s">
        <v>4638</v>
      </c>
      <c r="B114" s="1385"/>
      <c r="C114" s="1385"/>
      <c r="D114" s="110"/>
      <c r="E114" s="475" t="s">
        <v>3949</v>
      </c>
      <c r="F114" s="476">
        <f>A115</f>
        <v>0</v>
      </c>
      <c r="H114" s="425" t="s">
        <v>5242</v>
      </c>
      <c r="I114" s="1353"/>
      <c r="J114" s="1354"/>
      <c r="K114" s="1354"/>
      <c r="L114" s="1354"/>
      <c r="M114" s="1354"/>
      <c r="N114" s="1355"/>
      <c r="O114" s="194"/>
      <c r="P114" s="194"/>
      <c r="Q114" s="194"/>
      <c r="R114" s="194"/>
    </row>
    <row r="115" spans="1:18" ht="14.25" customHeight="1" x14ac:dyDescent="0.25">
      <c r="A115" s="822">
        <f>C118</f>
        <v>0</v>
      </c>
      <c r="B115" s="124"/>
      <c r="C115" s="125"/>
      <c r="D115" s="114"/>
      <c r="E115" s="114"/>
      <c r="F115" s="115"/>
      <c r="H115" s="262"/>
      <c r="I115" s="1356"/>
      <c r="J115" s="1357"/>
      <c r="K115" s="1357"/>
      <c r="L115" s="1357"/>
      <c r="M115" s="1357"/>
      <c r="N115" s="1358"/>
      <c r="O115" s="194"/>
      <c r="P115" s="194"/>
      <c r="Q115" s="194"/>
      <c r="R115" s="194"/>
    </row>
    <row r="116" spans="1:18" ht="57.75" customHeight="1" x14ac:dyDescent="0.25">
      <c r="A116" s="261"/>
      <c r="B116" s="490" t="s">
        <v>3948</v>
      </c>
      <c r="C116" s="1372" t="s">
        <v>5230</v>
      </c>
      <c r="D116" s="1372"/>
      <c r="E116" s="1372"/>
      <c r="F116" s="1373"/>
      <c r="H116" s="26"/>
      <c r="I116" s="1356"/>
      <c r="J116" s="1357"/>
      <c r="K116" s="1357"/>
      <c r="L116" s="1357"/>
      <c r="M116" s="1357"/>
      <c r="N116" s="1358"/>
      <c r="O116" s="194"/>
      <c r="P116" s="194"/>
      <c r="Q116" s="194"/>
      <c r="R116" s="194"/>
    </row>
    <row r="117" spans="1:18" ht="14.25" customHeight="1" x14ac:dyDescent="0.25">
      <c r="A117" s="261"/>
      <c r="B117" s="37" t="s">
        <v>5241</v>
      </c>
      <c r="C117" s="993" t="e">
        <f>C119/C120</f>
        <v>#DIV/0!</v>
      </c>
      <c r="D117" s="26"/>
      <c r="E117" s="26"/>
      <c r="H117" s="26"/>
      <c r="I117" s="1356"/>
      <c r="J117" s="1357"/>
      <c r="K117" s="1357"/>
      <c r="L117" s="1357"/>
      <c r="M117" s="1357"/>
      <c r="N117" s="1358"/>
      <c r="O117" s="194"/>
      <c r="P117" s="194"/>
      <c r="Q117" s="194"/>
      <c r="R117" s="194"/>
    </row>
    <row r="118" spans="1:18" ht="14.25" customHeight="1" x14ac:dyDescent="0.25">
      <c r="A118" s="261"/>
      <c r="B118" s="37" t="s">
        <v>4656</v>
      </c>
      <c r="C118" s="1017"/>
      <c r="D118" s="26"/>
      <c r="E118" s="26"/>
      <c r="H118" s="26"/>
      <c r="I118" s="1356"/>
      <c r="J118" s="1357"/>
      <c r="K118" s="1357"/>
      <c r="L118" s="1357"/>
      <c r="M118" s="1357"/>
      <c r="N118" s="1358"/>
      <c r="O118" s="194"/>
      <c r="P118" s="194"/>
      <c r="Q118" s="194"/>
      <c r="R118" s="194"/>
    </row>
    <row r="119" spans="1:18" ht="14.25" customHeight="1" x14ac:dyDescent="0.25">
      <c r="A119" s="261"/>
      <c r="B119" s="37" t="s">
        <v>4624</v>
      </c>
      <c r="C119" s="603">
        <f>SUM(D123:D131)</f>
        <v>0</v>
      </c>
      <c r="D119" s="26"/>
      <c r="E119" s="26"/>
      <c r="H119" s="26"/>
      <c r="I119" s="1356"/>
      <c r="J119" s="1357"/>
      <c r="K119" s="1357"/>
      <c r="L119" s="1357"/>
      <c r="M119" s="1357"/>
      <c r="N119" s="1358"/>
      <c r="O119" s="194"/>
      <c r="P119" s="194"/>
      <c r="Q119" s="194"/>
      <c r="R119" s="194"/>
    </row>
    <row r="120" spans="1:18" ht="14.25" customHeight="1" x14ac:dyDescent="0.25">
      <c r="A120" s="261"/>
      <c r="B120" s="37" t="s">
        <v>4969</v>
      </c>
      <c r="C120" s="966">
        <f>SUM('Budget &amp; Costs'!C9:C43)</f>
        <v>0</v>
      </c>
      <c r="D120" s="26"/>
      <c r="E120" s="26"/>
      <c r="H120" s="26"/>
      <c r="I120" s="1356"/>
      <c r="J120" s="1357"/>
      <c r="K120" s="1357"/>
      <c r="L120" s="1357"/>
      <c r="M120" s="1357"/>
      <c r="N120" s="1358"/>
      <c r="O120" s="194"/>
      <c r="P120" s="194"/>
      <c r="Q120" s="194"/>
      <c r="R120" s="194"/>
    </row>
    <row r="121" spans="1:18" ht="14.25" customHeight="1" x14ac:dyDescent="0.25">
      <c r="A121" s="261"/>
      <c r="B121" s="501"/>
      <c r="C121" s="994"/>
      <c r="D121" s="26"/>
      <c r="E121" s="26"/>
      <c r="H121" s="26"/>
      <c r="I121" s="1356"/>
      <c r="J121" s="1357"/>
      <c r="K121" s="1357"/>
      <c r="L121" s="1357"/>
      <c r="M121" s="1357"/>
      <c r="N121" s="1358"/>
      <c r="O121" s="194"/>
      <c r="P121" s="194"/>
      <c r="Q121" s="194"/>
      <c r="R121" s="194"/>
    </row>
    <row r="122" spans="1:18" ht="30.75" customHeight="1" x14ac:dyDescent="0.25">
      <c r="A122" s="261"/>
      <c r="B122" s="26" t="s">
        <v>4625</v>
      </c>
      <c r="C122" s="26"/>
      <c r="D122" s="26" t="s">
        <v>4628</v>
      </c>
      <c r="E122" s="26" t="s">
        <v>4626</v>
      </c>
      <c r="F122" s="26" t="s">
        <v>4627</v>
      </c>
      <c r="H122" s="26"/>
      <c r="I122" s="1356"/>
      <c r="J122" s="1357"/>
      <c r="K122" s="1357"/>
      <c r="L122" s="1357"/>
      <c r="M122" s="1357"/>
      <c r="N122" s="1358"/>
      <c r="O122" s="194"/>
      <c r="P122" s="194"/>
      <c r="Q122" s="194"/>
      <c r="R122" s="194"/>
    </row>
    <row r="123" spans="1:18" ht="14.25" customHeight="1" x14ac:dyDescent="0.25">
      <c r="A123" s="261"/>
      <c r="B123" s="1382"/>
      <c r="C123" s="1383"/>
      <c r="D123" s="605"/>
      <c r="E123" s="604"/>
      <c r="F123" s="503"/>
      <c r="H123" s="26"/>
      <c r="I123" s="1356"/>
      <c r="J123" s="1357"/>
      <c r="K123" s="1357"/>
      <c r="L123" s="1357"/>
      <c r="M123" s="1357"/>
      <c r="N123" s="1358"/>
      <c r="O123" s="194"/>
      <c r="P123" s="194"/>
      <c r="Q123" s="194"/>
      <c r="R123" s="194"/>
    </row>
    <row r="124" spans="1:18" ht="14.25" customHeight="1" x14ac:dyDescent="0.25">
      <c r="A124" s="261"/>
      <c r="B124" s="1382"/>
      <c r="C124" s="1383"/>
      <c r="D124" s="605"/>
      <c r="E124" s="604"/>
      <c r="F124" s="503"/>
      <c r="H124" s="26"/>
      <c r="I124" s="1356"/>
      <c r="J124" s="1357"/>
      <c r="K124" s="1357"/>
      <c r="L124" s="1357"/>
      <c r="M124" s="1357"/>
      <c r="N124" s="1358"/>
      <c r="O124" s="194"/>
      <c r="P124" s="194"/>
      <c r="Q124" s="194"/>
      <c r="R124" s="194"/>
    </row>
    <row r="125" spans="1:18" ht="14.25" customHeight="1" x14ac:dyDescent="0.25">
      <c r="A125" s="261"/>
      <c r="B125" s="1382"/>
      <c r="C125" s="1383"/>
      <c r="D125" s="605"/>
      <c r="E125" s="604"/>
      <c r="F125" s="503"/>
      <c r="H125" s="26"/>
      <c r="I125" s="1356"/>
      <c r="J125" s="1357"/>
      <c r="K125" s="1357"/>
      <c r="L125" s="1357"/>
      <c r="M125" s="1357"/>
      <c r="N125" s="1358"/>
      <c r="O125" s="194"/>
      <c r="P125" s="194"/>
      <c r="Q125" s="194"/>
      <c r="R125" s="194"/>
    </row>
    <row r="126" spans="1:18" ht="14.25" customHeight="1" x14ac:dyDescent="0.25">
      <c r="A126" s="261"/>
      <c r="B126" s="1382"/>
      <c r="C126" s="1383"/>
      <c r="D126" s="605"/>
      <c r="E126" s="604"/>
      <c r="F126" s="503"/>
      <c r="H126" s="26"/>
      <c r="I126" s="1356"/>
      <c r="J126" s="1357"/>
      <c r="K126" s="1357"/>
      <c r="L126" s="1357"/>
      <c r="M126" s="1357"/>
      <c r="N126" s="1358"/>
      <c r="O126" s="194"/>
      <c r="P126" s="194"/>
      <c r="Q126" s="194"/>
      <c r="R126" s="194"/>
    </row>
    <row r="127" spans="1:18" ht="14.25" customHeight="1" x14ac:dyDescent="0.25">
      <c r="A127" s="261"/>
      <c r="B127" s="1382"/>
      <c r="C127" s="1383"/>
      <c r="D127" s="605"/>
      <c r="E127" s="604"/>
      <c r="F127" s="503"/>
      <c r="H127" s="26"/>
      <c r="I127" s="1356"/>
      <c r="J127" s="1357"/>
      <c r="K127" s="1357"/>
      <c r="L127" s="1357"/>
      <c r="M127" s="1357"/>
      <c r="N127" s="1358"/>
      <c r="O127" s="194"/>
      <c r="P127" s="194"/>
      <c r="Q127" s="194"/>
      <c r="R127" s="194"/>
    </row>
    <row r="128" spans="1:18" ht="15.75" customHeight="1" x14ac:dyDescent="0.25">
      <c r="A128" s="261"/>
      <c r="B128" s="1394"/>
      <c r="C128" s="1383"/>
      <c r="D128" s="605"/>
      <c r="E128" s="604"/>
      <c r="F128" s="503"/>
      <c r="H128" s="26"/>
      <c r="I128" s="1356"/>
      <c r="J128" s="1357"/>
      <c r="K128" s="1357"/>
      <c r="L128" s="1357"/>
      <c r="M128" s="1357"/>
      <c r="N128" s="1358"/>
      <c r="O128" s="194"/>
      <c r="P128" s="194"/>
      <c r="Q128" s="194"/>
      <c r="R128" s="194"/>
    </row>
    <row r="129" spans="1:18" ht="14.25" customHeight="1" x14ac:dyDescent="0.25">
      <c r="A129" s="261"/>
      <c r="B129" s="1382"/>
      <c r="C129" s="1383"/>
      <c r="D129" s="605"/>
      <c r="E129" s="604"/>
      <c r="F129" s="503"/>
      <c r="H129" s="26"/>
      <c r="I129" s="1356"/>
      <c r="J129" s="1357"/>
      <c r="K129" s="1357"/>
      <c r="L129" s="1357"/>
      <c r="M129" s="1357"/>
      <c r="N129" s="1358"/>
      <c r="O129" s="194"/>
      <c r="P129" s="194"/>
      <c r="Q129" s="194"/>
      <c r="R129" s="194"/>
    </row>
    <row r="130" spans="1:18" ht="14.25" customHeight="1" x14ac:dyDescent="0.25">
      <c r="A130" s="261"/>
      <c r="B130" s="1382"/>
      <c r="C130" s="1383"/>
      <c r="D130" s="606"/>
      <c r="E130" s="604"/>
      <c r="F130" s="601"/>
      <c r="H130" s="26"/>
      <c r="I130" s="1356"/>
      <c r="J130" s="1357"/>
      <c r="K130" s="1357"/>
      <c r="L130" s="1357"/>
      <c r="M130" s="1357"/>
      <c r="N130" s="1358"/>
      <c r="O130" s="194"/>
      <c r="P130" s="194"/>
      <c r="Q130" s="194"/>
      <c r="R130" s="194"/>
    </row>
    <row r="131" spans="1:18" ht="14.25" customHeight="1" x14ac:dyDescent="0.25">
      <c r="A131" s="261"/>
      <c r="B131" s="1382"/>
      <c r="C131" s="1383"/>
      <c r="D131" s="606"/>
      <c r="E131" s="604"/>
      <c r="F131" s="601"/>
      <c r="H131" s="26"/>
      <c r="I131" s="1356"/>
      <c r="J131" s="1357"/>
      <c r="K131" s="1357"/>
      <c r="L131" s="1357"/>
      <c r="M131" s="1357"/>
      <c r="N131" s="1358"/>
      <c r="O131" s="194"/>
      <c r="P131" s="194"/>
      <c r="Q131" s="194"/>
      <c r="R131" s="194"/>
    </row>
    <row r="132" spans="1:18" ht="14.25" customHeight="1" thickBot="1" x14ac:dyDescent="0.3">
      <c r="A132" s="261"/>
      <c r="B132" s="5"/>
      <c r="D132" s="26"/>
      <c r="E132" s="26"/>
      <c r="H132" s="26"/>
      <c r="I132" s="1359"/>
      <c r="J132" s="1360"/>
      <c r="K132" s="1360"/>
      <c r="L132" s="1360"/>
      <c r="M132" s="1360"/>
      <c r="N132" s="1361"/>
      <c r="O132" s="194"/>
      <c r="P132" s="194"/>
      <c r="Q132" s="194"/>
      <c r="R132" s="194"/>
    </row>
    <row r="133" spans="1:18" ht="14.25" customHeight="1" thickBot="1" x14ac:dyDescent="0.25">
      <c r="A133" s="49"/>
      <c r="B133" s="49"/>
      <c r="C133" s="49"/>
      <c r="D133" s="26"/>
      <c r="E133" s="26"/>
      <c r="H133" s="26"/>
      <c r="I133" s="100" t="str">
        <f>IF(H134&lt;&gt;F135,"Doesn't Match Self-Score","")</f>
        <v/>
      </c>
      <c r="J133" s="816"/>
      <c r="K133" s="816"/>
      <c r="L133" s="816"/>
      <c r="M133" s="816"/>
      <c r="N133" s="816"/>
      <c r="O133" s="194"/>
      <c r="P133" s="194"/>
      <c r="Q133" s="194"/>
      <c r="R133" s="194"/>
    </row>
    <row r="134" spans="1:18" ht="24.95" customHeight="1" thickBot="1" x14ac:dyDescent="0.3">
      <c r="A134" s="474" t="s">
        <v>5253</v>
      </c>
      <c r="B134" s="479"/>
      <c r="C134" s="480"/>
      <c r="D134" s="106"/>
      <c r="E134" s="106"/>
      <c r="F134" s="107"/>
      <c r="H134" s="128">
        <f>IF(H136+H141+H146+H161+H167+H176+H185+H159+H191&gt;35,35,SUM(H136+H141+H146+H161+H167+H176+H185+H159+H191))</f>
        <v>0</v>
      </c>
      <c r="I134" s="1350" t="s">
        <v>5266</v>
      </c>
      <c r="J134" s="1351"/>
      <c r="K134" s="1351"/>
      <c r="L134" s="1351"/>
      <c r="M134" s="1351"/>
      <c r="N134" s="1352"/>
      <c r="O134" s="194"/>
      <c r="P134" s="194"/>
      <c r="Q134" s="194"/>
      <c r="R134" s="194"/>
    </row>
    <row r="135" spans="1:18" ht="14.25" customHeight="1" x14ac:dyDescent="0.25">
      <c r="A135" s="1367" t="s">
        <v>5276</v>
      </c>
      <c r="B135" s="1368"/>
      <c r="C135" s="1368"/>
      <c r="D135" s="110"/>
      <c r="E135" s="475" t="s">
        <v>3949</v>
      </c>
      <c r="F135" s="476">
        <f>IF(A136+A141+A146+A161+A167+A159+A176+A185+A191&gt;35,35,SUM(A136+A141+A146+A161+A167+A159+A176+A185+A191))</f>
        <v>0</v>
      </c>
      <c r="H135" s="9" t="s">
        <v>3900</v>
      </c>
      <c r="I135" s="1340"/>
      <c r="J135" s="1341"/>
      <c r="K135" s="1341"/>
      <c r="L135" s="1341"/>
      <c r="M135" s="1341"/>
      <c r="N135" s="1342"/>
      <c r="O135" s="194"/>
      <c r="P135" s="194"/>
      <c r="Q135" s="194"/>
      <c r="R135" s="194"/>
    </row>
    <row r="136" spans="1:18" ht="14.25" customHeight="1" x14ac:dyDescent="0.25">
      <c r="A136" s="822">
        <f>C139</f>
        <v>0</v>
      </c>
      <c r="B136" s="753" t="s">
        <v>5243</v>
      </c>
      <c r="C136" s="112"/>
      <c r="D136" s="113"/>
      <c r="E136" s="114"/>
      <c r="F136" s="115"/>
      <c r="H136" s="262"/>
      <c r="I136" s="1343"/>
      <c r="J136" s="1344"/>
      <c r="K136" s="1344"/>
      <c r="L136" s="1344"/>
      <c r="M136" s="1344"/>
      <c r="N136" s="1345"/>
      <c r="O136" s="194"/>
      <c r="P136" s="194"/>
      <c r="Q136" s="194"/>
      <c r="R136" s="194"/>
    </row>
    <row r="137" spans="1:18" ht="30.75" customHeight="1" x14ac:dyDescent="0.25">
      <c r="A137" s="261"/>
      <c r="B137" s="490" t="s">
        <v>3948</v>
      </c>
      <c r="C137" s="1260" t="s">
        <v>4964</v>
      </c>
      <c r="D137" s="1260"/>
      <c r="E137" s="1260"/>
      <c r="F137" s="1261"/>
      <c r="H137"/>
      <c r="I137" s="1343"/>
      <c r="J137" s="1344"/>
      <c r="K137" s="1344"/>
      <c r="L137" s="1344"/>
      <c r="M137" s="1344"/>
      <c r="N137" s="1345"/>
      <c r="O137" s="194"/>
      <c r="P137" s="194"/>
      <c r="Q137" s="194"/>
      <c r="R137" s="194"/>
    </row>
    <row r="138" spans="1:18" ht="15" x14ac:dyDescent="0.25">
      <c r="A138" s="261"/>
      <c r="B138" s="37" t="s">
        <v>4437</v>
      </c>
      <c r="C138" s="821"/>
      <c r="D138" s="103"/>
      <c r="E138" s="26"/>
      <c r="H138" s="26"/>
      <c r="I138" s="1343"/>
      <c r="J138" s="1344"/>
      <c r="K138" s="1344"/>
      <c r="L138" s="1344"/>
      <c r="M138" s="1344"/>
      <c r="N138" s="1345"/>
      <c r="O138" s="194"/>
      <c r="P138" s="194"/>
      <c r="Q138" s="194"/>
      <c r="R138" s="194"/>
    </row>
    <row r="139" spans="1:18" ht="15" x14ac:dyDescent="0.25">
      <c r="A139" s="261"/>
      <c r="B139" s="37" t="s">
        <v>4656</v>
      </c>
      <c r="C139" s="783">
        <f>IF(C138="1-2",1,IF(C138="3-5",3,IF(C138="6 or higher",5,0)))</f>
        <v>0</v>
      </c>
      <c r="D139" s="103"/>
      <c r="E139" s="26"/>
      <c r="H139" s="26"/>
      <c r="I139" s="1343"/>
      <c r="J139" s="1344"/>
      <c r="K139" s="1344"/>
      <c r="L139" s="1344"/>
      <c r="M139" s="1344"/>
      <c r="N139" s="1345"/>
      <c r="O139" s="194"/>
      <c r="P139" s="194"/>
      <c r="Q139" s="194"/>
      <c r="R139" s="194"/>
    </row>
    <row r="140" spans="1:18" ht="15.75" customHeight="1" x14ac:dyDescent="0.25">
      <c r="A140" s="261"/>
      <c r="B140" s="5"/>
      <c r="D140" s="26"/>
      <c r="E140" s="26"/>
      <c r="G140" s="26"/>
      <c r="H140" s="9" t="s">
        <v>4917</v>
      </c>
      <c r="I140" s="1343"/>
      <c r="J140" s="1344"/>
      <c r="K140" s="1344"/>
      <c r="L140" s="1344"/>
      <c r="M140" s="1344"/>
      <c r="N140" s="1345"/>
      <c r="O140" s="194"/>
      <c r="P140" s="194"/>
      <c r="Q140" s="194"/>
      <c r="R140" s="194"/>
    </row>
    <row r="141" spans="1:18" ht="14.25" customHeight="1" x14ac:dyDescent="0.25">
      <c r="A141" s="822">
        <f>C144</f>
        <v>0</v>
      </c>
      <c r="B141" s="111" t="s">
        <v>5244</v>
      </c>
      <c r="C141" s="112"/>
      <c r="D141" s="113"/>
      <c r="E141" s="114"/>
      <c r="F141" s="115"/>
      <c r="H141" s="262"/>
      <c r="I141" s="1343"/>
      <c r="J141" s="1344"/>
      <c r="K141" s="1344"/>
      <c r="L141" s="1344"/>
      <c r="M141" s="1344"/>
      <c r="N141" s="1345"/>
      <c r="O141" s="194"/>
      <c r="P141" s="194"/>
      <c r="Q141" s="194"/>
      <c r="R141" s="194"/>
    </row>
    <row r="142" spans="1:18" ht="14.25" customHeight="1" x14ac:dyDescent="0.25">
      <c r="A142" s="261"/>
      <c r="B142" s="491" t="s">
        <v>3948</v>
      </c>
      <c r="C142" s="117" t="s">
        <v>4425</v>
      </c>
      <c r="D142" s="118"/>
      <c r="E142" s="118"/>
      <c r="F142" s="119"/>
      <c r="H142"/>
      <c r="I142" s="1343"/>
      <c r="J142" s="1344"/>
      <c r="K142" s="1344"/>
      <c r="L142" s="1344"/>
      <c r="M142" s="1344"/>
      <c r="N142" s="1345"/>
      <c r="O142" s="194"/>
      <c r="P142" s="194"/>
      <c r="Q142" s="194"/>
      <c r="R142" s="194"/>
    </row>
    <row r="143" spans="1:18" ht="15" x14ac:dyDescent="0.25">
      <c r="A143" s="261"/>
      <c r="B143" s="37" t="s">
        <v>4426</v>
      </c>
      <c r="C143" s="105">
        <f>'Budget &amp; Costs'!E59</f>
        <v>0</v>
      </c>
      <c r="D143" s="103"/>
      <c r="E143" s="26"/>
      <c r="H143" s="26"/>
      <c r="I143" s="1343"/>
      <c r="J143" s="1344"/>
      <c r="K143" s="1344"/>
      <c r="L143" s="1344"/>
      <c r="M143" s="1344"/>
      <c r="N143" s="1345"/>
      <c r="O143" s="194"/>
      <c r="P143" s="194"/>
      <c r="Q143" s="194"/>
      <c r="R143" s="194"/>
    </row>
    <row r="144" spans="1:18" ht="15" x14ac:dyDescent="0.25">
      <c r="A144" s="261"/>
      <c r="B144" s="37" t="s">
        <v>4656</v>
      </c>
      <c r="C144" s="783">
        <f>IF(C143&gt;0.1499,5,0)</f>
        <v>0</v>
      </c>
      <c r="D144" s="103"/>
      <c r="E144" s="26"/>
      <c r="H144" s="26"/>
      <c r="I144" s="1343"/>
      <c r="J144" s="1344"/>
      <c r="K144" s="1344"/>
      <c r="L144" s="1344"/>
      <c r="M144" s="1344"/>
      <c r="N144" s="1345"/>
      <c r="O144" s="194"/>
      <c r="P144" s="194"/>
      <c r="Q144" s="194"/>
      <c r="R144" s="194"/>
    </row>
    <row r="145" spans="1:18" ht="14.25" customHeight="1" x14ac:dyDescent="0.25">
      <c r="A145" s="261"/>
      <c r="B145" s="5"/>
      <c r="D145" s="26"/>
      <c r="E145" s="26"/>
      <c r="H145" s="9" t="s">
        <v>4918</v>
      </c>
      <c r="I145" s="1343"/>
      <c r="J145" s="1344"/>
      <c r="K145" s="1344"/>
      <c r="L145" s="1344"/>
      <c r="M145" s="1344"/>
      <c r="N145" s="1345"/>
      <c r="O145" s="194"/>
      <c r="P145" s="194"/>
      <c r="Q145" s="194"/>
      <c r="R145" s="194"/>
    </row>
    <row r="146" spans="1:18" ht="14.25" customHeight="1" x14ac:dyDescent="0.25">
      <c r="A146" s="822">
        <f>C149</f>
        <v>0</v>
      </c>
      <c r="B146" s="753" t="s">
        <v>5248</v>
      </c>
      <c r="C146" s="112"/>
      <c r="D146" s="113"/>
      <c r="E146" s="114"/>
      <c r="F146" s="115"/>
      <c r="G146" s="26"/>
      <c r="H146" s="262"/>
      <c r="I146" s="1343"/>
      <c r="J146" s="1344"/>
      <c r="K146" s="1344"/>
      <c r="L146" s="1344"/>
      <c r="M146" s="1344"/>
      <c r="N146" s="1345"/>
      <c r="O146" s="194"/>
      <c r="P146" s="194"/>
      <c r="Q146" s="194"/>
      <c r="R146" s="194"/>
    </row>
    <row r="147" spans="1:18" ht="31.5" customHeight="1" x14ac:dyDescent="0.25">
      <c r="A147" s="261"/>
      <c r="B147" s="602" t="s">
        <v>3948</v>
      </c>
      <c r="C147" s="1390" t="s">
        <v>4965</v>
      </c>
      <c r="D147" s="1390"/>
      <c r="E147" s="1390"/>
      <c r="F147" s="1391"/>
      <c r="G147" s="26"/>
      <c r="H147" s="26"/>
      <c r="I147" s="1343"/>
      <c r="J147" s="1344"/>
      <c r="K147" s="1344"/>
      <c r="L147" s="1344"/>
      <c r="M147" s="1344"/>
      <c r="N147" s="1345"/>
      <c r="O147" s="194"/>
      <c r="P147" s="194"/>
      <c r="Q147" s="194"/>
      <c r="R147" s="194"/>
    </row>
    <row r="148" spans="1:18" ht="31.5" customHeight="1" x14ac:dyDescent="0.25">
      <c r="A148" s="261"/>
      <c r="B148" s="490"/>
      <c r="C148" s="1372" t="s">
        <v>4966</v>
      </c>
      <c r="D148" s="1372"/>
      <c r="E148" s="1372"/>
      <c r="F148" s="1373"/>
      <c r="G148" s="26"/>
      <c r="H148" s="26"/>
      <c r="I148" s="1343"/>
      <c r="J148" s="1344"/>
      <c r="K148" s="1344"/>
      <c r="L148" s="1344"/>
      <c r="M148" s="1344"/>
      <c r="N148" s="1345"/>
      <c r="O148" s="194"/>
      <c r="P148" s="194"/>
      <c r="Q148" s="194"/>
      <c r="R148" s="194"/>
    </row>
    <row r="149" spans="1:18" ht="14.25" customHeight="1" x14ac:dyDescent="0.2">
      <c r="A149" s="194"/>
      <c r="B149" s="37" t="s">
        <v>4656</v>
      </c>
      <c r="C149" s="263"/>
      <c r="D149" s="26"/>
      <c r="E149" s="26"/>
      <c r="F149" s="26"/>
      <c r="G149" s="26"/>
      <c r="H149" s="26"/>
      <c r="I149" s="1343"/>
      <c r="J149" s="1344"/>
      <c r="K149" s="1344"/>
      <c r="L149" s="1344"/>
      <c r="M149" s="1344"/>
      <c r="N149" s="1345"/>
      <c r="O149" s="194"/>
      <c r="P149" s="194"/>
      <c r="Q149" s="194"/>
      <c r="R149" s="194"/>
    </row>
    <row r="150" spans="1:18" ht="14.25" customHeight="1" x14ac:dyDescent="0.2">
      <c r="A150" s="194"/>
      <c r="B150" s="5"/>
      <c r="C150"/>
      <c r="D150" s="26"/>
      <c r="E150" s="26"/>
      <c r="F150" s="26"/>
      <c r="G150" s="26"/>
      <c r="H150" s="26"/>
      <c r="I150" s="1343"/>
      <c r="J150" s="1344"/>
      <c r="K150" s="1344"/>
      <c r="L150" s="1344"/>
      <c r="M150" s="1344"/>
      <c r="N150" s="1345"/>
      <c r="O150" s="194"/>
      <c r="P150" s="194"/>
      <c r="Q150" s="194"/>
      <c r="R150" s="194"/>
    </row>
    <row r="151" spans="1:18" ht="14.25" customHeight="1" x14ac:dyDescent="0.25">
      <c r="A151" s="194"/>
      <c r="B151" s="9" t="s">
        <v>4430</v>
      </c>
      <c r="C151" s="9" t="s">
        <v>4431</v>
      </c>
      <c r="D151" s="9" t="s">
        <v>3061</v>
      </c>
      <c r="E151" s="9" t="s">
        <v>4432</v>
      </c>
      <c r="F151" s="826" t="s">
        <v>4656</v>
      </c>
      <c r="G151" s="26"/>
      <c r="H151" s="26"/>
      <c r="I151" s="1343"/>
      <c r="J151" s="1344"/>
      <c r="K151" s="1344"/>
      <c r="L151" s="1344"/>
      <c r="M151" s="1344"/>
      <c r="N151" s="1345"/>
      <c r="O151" s="194"/>
      <c r="P151" s="194"/>
      <c r="Q151" s="194"/>
      <c r="R151" s="194"/>
    </row>
    <row r="152" spans="1:18" ht="14.25" customHeight="1" x14ac:dyDescent="0.2">
      <c r="A152" s="194"/>
      <c r="B152" s="825" t="s">
        <v>4433</v>
      </c>
      <c r="C152" s="503"/>
      <c r="D152" s="503"/>
      <c r="E152" s="503"/>
      <c r="F152" s="844">
        <v>3</v>
      </c>
      <c r="G152" s="26"/>
      <c r="H152" s="26"/>
      <c r="I152" s="1343"/>
      <c r="J152" s="1344"/>
      <c r="K152" s="1344"/>
      <c r="L152" s="1344"/>
      <c r="M152" s="1344"/>
      <c r="N152" s="1345"/>
      <c r="O152" s="194"/>
      <c r="P152" s="194"/>
      <c r="Q152" s="194"/>
      <c r="R152" s="194"/>
    </row>
    <row r="153" spans="1:18" ht="14.25" customHeight="1" x14ac:dyDescent="0.2">
      <c r="A153" s="194"/>
      <c r="B153" s="825" t="s">
        <v>5245</v>
      </c>
      <c r="C153" s="503"/>
      <c r="D153" s="503"/>
      <c r="E153" s="503"/>
      <c r="F153" s="844">
        <v>2</v>
      </c>
      <c r="G153" s="26"/>
      <c r="H153" s="26"/>
      <c r="I153" s="1343"/>
      <c r="J153" s="1344"/>
      <c r="K153" s="1344"/>
      <c r="L153" s="1344"/>
      <c r="M153" s="1344"/>
      <c r="N153" s="1345"/>
      <c r="O153" s="194"/>
      <c r="P153" s="194"/>
      <c r="Q153" s="194"/>
      <c r="R153" s="194"/>
    </row>
    <row r="154" spans="1:18" ht="14.25" customHeight="1" x14ac:dyDescent="0.2">
      <c r="A154" s="194"/>
      <c r="B154" s="825" t="s">
        <v>5246</v>
      </c>
      <c r="C154" s="503"/>
      <c r="D154" s="503"/>
      <c r="E154" s="503"/>
      <c r="F154" s="844">
        <v>1</v>
      </c>
      <c r="G154" s="26"/>
      <c r="H154" s="26"/>
      <c r="I154" s="1343"/>
      <c r="J154" s="1344"/>
      <c r="K154" s="1344"/>
      <c r="L154" s="1344"/>
      <c r="M154" s="1344"/>
      <c r="N154" s="1345"/>
      <c r="O154" s="194"/>
      <c r="P154" s="194"/>
      <c r="Q154" s="194"/>
      <c r="R154" s="194"/>
    </row>
    <row r="155" spans="1:18" ht="14.25" customHeight="1" x14ac:dyDescent="0.2">
      <c r="A155" s="194"/>
      <c r="B155" s="825" t="s">
        <v>4434</v>
      </c>
      <c r="C155" s="503"/>
      <c r="D155" s="503"/>
      <c r="E155" s="503"/>
      <c r="F155" s="844">
        <v>1</v>
      </c>
      <c r="G155" s="26"/>
      <c r="H155" s="26"/>
      <c r="I155" s="1343"/>
      <c r="J155" s="1344"/>
      <c r="K155" s="1344"/>
      <c r="L155" s="1344"/>
      <c r="M155" s="1344"/>
      <c r="N155" s="1345"/>
      <c r="O155" s="194"/>
      <c r="P155" s="194"/>
      <c r="Q155" s="194"/>
      <c r="R155" s="194"/>
    </row>
    <row r="156" spans="1:18" ht="14.25" customHeight="1" x14ac:dyDescent="0.2">
      <c r="A156" s="194"/>
      <c r="B156" s="825" t="s">
        <v>4435</v>
      </c>
      <c r="C156" s="503"/>
      <c r="D156" s="503"/>
      <c r="E156" s="503"/>
      <c r="F156" s="844">
        <v>1</v>
      </c>
      <c r="G156" s="26"/>
      <c r="H156" s="26"/>
      <c r="I156" s="1343"/>
      <c r="J156" s="1344"/>
      <c r="K156" s="1344"/>
      <c r="L156" s="1344"/>
      <c r="M156" s="1344"/>
      <c r="N156" s="1345"/>
      <c r="O156" s="194"/>
      <c r="P156" s="194"/>
      <c r="Q156" s="194"/>
      <c r="R156" s="194"/>
    </row>
    <row r="157" spans="1:18" ht="14.25" customHeight="1" x14ac:dyDescent="0.2">
      <c r="A157" s="194"/>
      <c r="B157" s="825" t="s">
        <v>4436</v>
      </c>
      <c r="C157" s="503"/>
      <c r="D157" s="503"/>
      <c r="E157" s="503"/>
      <c r="F157" s="844">
        <v>1</v>
      </c>
      <c r="G157" s="26"/>
      <c r="H157" s="26"/>
      <c r="I157" s="1343"/>
      <c r="J157" s="1344"/>
      <c r="K157" s="1344"/>
      <c r="L157" s="1344"/>
      <c r="M157" s="1344"/>
      <c r="N157" s="1345"/>
      <c r="O157" s="194"/>
      <c r="P157" s="194"/>
      <c r="Q157" s="194"/>
      <c r="R157" s="194"/>
    </row>
    <row r="158" spans="1:18" ht="14.25" customHeight="1" x14ac:dyDescent="0.2">
      <c r="A158" s="194"/>
      <c r="B158" s="825" t="s">
        <v>5247</v>
      </c>
      <c r="C158" s="503"/>
      <c r="D158" s="503"/>
      <c r="E158" s="503"/>
      <c r="F158" s="844">
        <v>1</v>
      </c>
      <c r="G158" s="26"/>
      <c r="H158" s="26" t="s">
        <v>5267</v>
      </c>
      <c r="I158" s="1343"/>
      <c r="J158" s="1344"/>
      <c r="K158" s="1344"/>
      <c r="L158" s="1344"/>
      <c r="M158" s="1344"/>
      <c r="N158" s="1345"/>
      <c r="O158" s="194"/>
      <c r="P158" s="194"/>
      <c r="Q158" s="194"/>
      <c r="R158" s="194"/>
    </row>
    <row r="159" spans="1:18" ht="14.25" customHeight="1" x14ac:dyDescent="0.25">
      <c r="A159" s="979">
        <f>F159</f>
        <v>0</v>
      </c>
      <c r="B159" s="825" t="s">
        <v>5262</v>
      </c>
      <c r="C159" s="503"/>
      <c r="D159" s="503"/>
      <c r="E159" s="503"/>
      <c r="F159" s="1032">
        <v>0</v>
      </c>
      <c r="G159" s="26"/>
      <c r="H159" s="984"/>
      <c r="I159" s="1343"/>
      <c r="J159" s="1344"/>
      <c r="K159" s="1344"/>
      <c r="L159" s="1344"/>
      <c r="M159" s="1344"/>
      <c r="N159" s="1345"/>
      <c r="O159" s="194"/>
      <c r="P159" s="194"/>
      <c r="Q159" s="194"/>
      <c r="R159" s="194"/>
    </row>
    <row r="160" spans="1:18" ht="14.25" customHeight="1" x14ac:dyDescent="0.2">
      <c r="A160" s="194"/>
      <c r="B160" s="26"/>
      <c r="C160" s="26"/>
      <c r="D160" s="26"/>
      <c r="E160" s="26"/>
      <c r="F160" s="26"/>
      <c r="G160" s="26"/>
      <c r="H160" s="9" t="s">
        <v>4919</v>
      </c>
      <c r="I160" s="1343"/>
      <c r="J160" s="1344"/>
      <c r="K160" s="1344"/>
      <c r="L160" s="1344"/>
      <c r="M160" s="1344"/>
      <c r="N160" s="1345"/>
      <c r="O160" s="194"/>
      <c r="P160" s="194"/>
      <c r="Q160" s="194"/>
      <c r="R160" s="194"/>
    </row>
    <row r="161" spans="1:18" ht="14.25" customHeight="1" x14ac:dyDescent="0.25">
      <c r="A161" s="822">
        <f>C165</f>
        <v>0</v>
      </c>
      <c r="B161" s="753" t="s">
        <v>5249</v>
      </c>
      <c r="C161" s="112"/>
      <c r="D161" s="113"/>
      <c r="E161" s="114"/>
      <c r="F161" s="115"/>
      <c r="H161" s="262"/>
      <c r="I161" s="1343"/>
      <c r="J161" s="1344"/>
      <c r="K161" s="1344"/>
      <c r="L161" s="1344"/>
      <c r="M161" s="1344"/>
      <c r="N161" s="1345"/>
      <c r="O161" s="194"/>
      <c r="P161" s="194"/>
      <c r="Q161" s="194"/>
      <c r="R161" s="194"/>
    </row>
    <row r="162" spans="1:18" ht="14.25" customHeight="1" x14ac:dyDescent="0.25">
      <c r="A162" s="261"/>
      <c r="B162" s="492" t="s">
        <v>3948</v>
      </c>
      <c r="C162" s="1338" t="s">
        <v>4967</v>
      </c>
      <c r="D162" s="1338"/>
      <c r="E162" s="1338"/>
      <c r="F162" s="1339"/>
      <c r="H162" s="26"/>
      <c r="I162" s="1343"/>
      <c r="J162" s="1344"/>
      <c r="K162" s="1344"/>
      <c r="L162" s="1344"/>
      <c r="M162" s="1344"/>
      <c r="N162" s="1345"/>
      <c r="O162" s="194"/>
      <c r="P162" s="194"/>
      <c r="Q162" s="194"/>
      <c r="R162" s="194"/>
    </row>
    <row r="163" spans="1:18" ht="14.25" customHeight="1" x14ac:dyDescent="0.25">
      <c r="A163" s="261"/>
      <c r="B163" s="491"/>
      <c r="C163" s="1372"/>
      <c r="D163" s="1372"/>
      <c r="E163" s="1372"/>
      <c r="F163" s="1373"/>
      <c r="H163" s="26"/>
      <c r="I163" s="1343"/>
      <c r="J163" s="1344"/>
      <c r="K163" s="1344"/>
      <c r="L163" s="1344"/>
      <c r="M163" s="1344"/>
      <c r="N163" s="1345"/>
      <c r="O163" s="194"/>
      <c r="P163" s="194"/>
      <c r="Q163" s="194"/>
      <c r="R163" s="194"/>
    </row>
    <row r="164" spans="1:18" ht="14.25" customHeight="1" x14ac:dyDescent="0.25">
      <c r="A164" s="261"/>
      <c r="B164" s="37" t="s">
        <v>4429</v>
      </c>
      <c r="C164" s="263"/>
      <c r="D164" s="26"/>
      <c r="E164" s="26"/>
      <c r="H164" s="26"/>
      <c r="I164" s="1343"/>
      <c r="J164" s="1344"/>
      <c r="K164" s="1344"/>
      <c r="L164" s="1344"/>
      <c r="M164" s="1344"/>
      <c r="N164" s="1345"/>
      <c r="O164" s="194"/>
      <c r="P164" s="194"/>
      <c r="Q164" s="194"/>
      <c r="R164" s="194"/>
    </row>
    <row r="165" spans="1:18" ht="14.25" customHeight="1" x14ac:dyDescent="0.25">
      <c r="A165" s="261"/>
      <c r="B165" s="37" t="s">
        <v>4656</v>
      </c>
      <c r="C165" s="783">
        <f>IF(C164="30% and below",3,IF(C164="20% and below",5,0))</f>
        <v>0</v>
      </c>
      <c r="D165" s="26"/>
      <c r="E165" s="26"/>
      <c r="H165" s="26"/>
      <c r="I165" s="1343"/>
      <c r="J165" s="1344"/>
      <c r="K165" s="1344"/>
      <c r="L165" s="1344"/>
      <c r="M165" s="1344"/>
      <c r="N165" s="1345"/>
      <c r="O165" s="194"/>
      <c r="P165" s="194"/>
      <c r="Q165" s="194"/>
      <c r="R165" s="194"/>
    </row>
    <row r="166" spans="1:18" ht="14.25" customHeight="1" x14ac:dyDescent="0.25">
      <c r="A166" s="261"/>
      <c r="B166" s="5"/>
      <c r="D166" s="26"/>
      <c r="E166" s="26"/>
      <c r="H166" s="9" t="s">
        <v>4920</v>
      </c>
      <c r="I166" s="1343"/>
      <c r="J166" s="1344"/>
      <c r="K166" s="1344"/>
      <c r="L166" s="1344"/>
      <c r="M166" s="1344"/>
      <c r="N166" s="1345"/>
      <c r="O166" s="194"/>
      <c r="P166" s="194"/>
      <c r="Q166" s="194"/>
      <c r="R166" s="194"/>
    </row>
    <row r="167" spans="1:18" ht="14.25" customHeight="1" x14ac:dyDescent="0.25">
      <c r="A167" s="822">
        <f>MAX(C171,C174)</f>
        <v>0</v>
      </c>
      <c r="B167" s="111" t="s">
        <v>5254</v>
      </c>
      <c r="C167" s="112"/>
      <c r="D167" s="113"/>
      <c r="E167" s="114"/>
      <c r="F167" s="115"/>
      <c r="H167" s="262"/>
      <c r="I167" s="1343"/>
      <c r="J167" s="1344"/>
      <c r="K167" s="1344"/>
      <c r="L167" s="1344"/>
      <c r="M167" s="1344"/>
      <c r="N167" s="1345"/>
      <c r="O167" s="194"/>
      <c r="P167" s="194"/>
      <c r="Q167" s="194"/>
      <c r="R167" s="194"/>
    </row>
    <row r="168" spans="1:18" ht="14.25" customHeight="1" x14ac:dyDescent="0.25">
      <c r="A168" s="261"/>
      <c r="B168" s="492" t="s">
        <v>3948</v>
      </c>
      <c r="C168" s="1392" t="s">
        <v>4439</v>
      </c>
      <c r="D168" s="1392"/>
      <c r="E168" s="1392"/>
      <c r="F168" s="1393"/>
      <c r="H168" s="26"/>
      <c r="I168" s="1343"/>
      <c r="J168" s="1344"/>
      <c r="K168" s="1344"/>
      <c r="L168" s="1344"/>
      <c r="M168" s="1344"/>
      <c r="N168" s="1345"/>
      <c r="O168" s="194"/>
      <c r="P168" s="194"/>
      <c r="Q168" s="194"/>
      <c r="R168" s="194"/>
    </row>
    <row r="169" spans="1:18" ht="30" customHeight="1" x14ac:dyDescent="0.25">
      <c r="A169" s="261"/>
      <c r="B169" s="116"/>
      <c r="C169" s="1260" t="s">
        <v>4968</v>
      </c>
      <c r="D169" s="1260"/>
      <c r="E169" s="1260"/>
      <c r="F169" s="1261"/>
      <c r="H169" s="26"/>
      <c r="I169" s="1343"/>
      <c r="J169" s="1344"/>
      <c r="K169" s="1344"/>
      <c r="L169" s="1344"/>
      <c r="M169" s="1344"/>
      <c r="N169" s="1345"/>
      <c r="O169" s="194"/>
      <c r="P169" s="194"/>
      <c r="Q169" s="194"/>
      <c r="R169" s="194"/>
    </row>
    <row r="170" spans="1:18" ht="14.25" customHeight="1" x14ac:dyDescent="0.25">
      <c r="A170" s="261"/>
      <c r="B170" s="37" t="s">
        <v>3937</v>
      </c>
      <c r="C170" s="190"/>
      <c r="D170" s="26"/>
      <c r="E170" s="26"/>
      <c r="H170" s="26"/>
      <c r="I170" s="1343"/>
      <c r="J170" s="1344"/>
      <c r="K170" s="1344"/>
      <c r="L170" s="1344"/>
      <c r="M170" s="1344"/>
      <c r="N170" s="1345"/>
      <c r="O170" s="194"/>
      <c r="P170" s="194"/>
      <c r="Q170" s="194"/>
      <c r="R170" s="194"/>
    </row>
    <row r="171" spans="1:18" ht="14.25" customHeight="1" x14ac:dyDescent="0.25">
      <c r="A171" s="261"/>
      <c r="B171" s="37" t="s">
        <v>4656</v>
      </c>
      <c r="C171" s="783">
        <f>IF(C170="3000-3999 jobs",3,IF(C170="4000-4999 jobs",4,IF(C170="5000 or more jobs",5,0)))</f>
        <v>0</v>
      </c>
      <c r="D171" s="26"/>
      <c r="E171" s="26"/>
      <c r="H171" s="26"/>
      <c r="I171" s="1343"/>
      <c r="J171" s="1344"/>
      <c r="K171" s="1344"/>
      <c r="L171" s="1344"/>
      <c r="M171" s="1344"/>
      <c r="N171" s="1345"/>
      <c r="O171" s="194"/>
      <c r="P171" s="194"/>
      <c r="Q171" s="194"/>
      <c r="R171" s="194"/>
    </row>
    <row r="172" spans="1:18" ht="14.25" customHeight="1" x14ac:dyDescent="0.25">
      <c r="A172" s="261"/>
      <c r="B172" s="37" t="s">
        <v>4427</v>
      </c>
      <c r="E172" s="26"/>
      <c r="H172"/>
      <c r="I172" s="1343"/>
      <c r="J172" s="1344"/>
      <c r="K172" s="1344"/>
      <c r="L172" s="1344"/>
      <c r="M172" s="1344"/>
      <c r="N172" s="1345"/>
      <c r="O172" s="194"/>
      <c r="P172" s="194"/>
      <c r="Q172" s="194"/>
      <c r="R172" s="194"/>
    </row>
    <row r="173" spans="1:18" ht="14.25" customHeight="1" x14ac:dyDescent="0.25">
      <c r="A173" s="261"/>
      <c r="B173" s="37" t="s">
        <v>4428</v>
      </c>
      <c r="C173" s="190"/>
      <c r="E173" s="26"/>
      <c r="H173" s="26"/>
      <c r="I173" s="1343"/>
      <c r="J173" s="1344"/>
      <c r="K173" s="1344"/>
      <c r="L173" s="1344"/>
      <c r="M173" s="1344"/>
      <c r="N173" s="1345"/>
      <c r="O173" s="194"/>
      <c r="P173" s="194"/>
      <c r="Q173" s="194"/>
      <c r="R173" s="194"/>
    </row>
    <row r="174" spans="1:18" ht="14.25" customHeight="1" x14ac:dyDescent="0.25">
      <c r="A174" s="261"/>
      <c r="B174" s="37" t="s">
        <v>4656</v>
      </c>
      <c r="C174" s="783">
        <f>IF(C173="0.5-0.99",3,IF(C173="1.0-1.5",4,IF(C173="Greater than 1.5",5,0)))</f>
        <v>0</v>
      </c>
      <c r="E174" s="26"/>
      <c r="H174" s="26"/>
      <c r="I174" s="1343"/>
      <c r="J174" s="1344"/>
      <c r="K174" s="1344"/>
      <c r="L174" s="1344"/>
      <c r="M174" s="1344"/>
      <c r="N174" s="1345"/>
      <c r="O174" s="194"/>
      <c r="P174" s="194"/>
      <c r="Q174" s="194"/>
      <c r="R174" s="194"/>
    </row>
    <row r="175" spans="1:18" ht="14.25" customHeight="1" x14ac:dyDescent="0.25">
      <c r="A175" s="261"/>
      <c r="B175" s="5"/>
      <c r="D175" s="26"/>
      <c r="E175" s="26"/>
      <c r="H175" s="26" t="s">
        <v>4970</v>
      </c>
      <c r="I175" s="1343"/>
      <c r="J175" s="1344"/>
      <c r="K175" s="1344"/>
      <c r="L175" s="1344"/>
      <c r="M175" s="1344"/>
      <c r="N175" s="1345"/>
      <c r="O175" s="194"/>
      <c r="P175" s="194"/>
      <c r="Q175" s="194"/>
      <c r="R175" s="194"/>
    </row>
    <row r="176" spans="1:18" ht="14.25" customHeight="1" x14ac:dyDescent="0.25">
      <c r="A176" s="822">
        <f>C183</f>
        <v>0</v>
      </c>
      <c r="B176" s="969" t="s">
        <v>5257</v>
      </c>
      <c r="C176" s="970"/>
      <c r="D176" s="971"/>
      <c r="E176" s="972"/>
      <c r="F176" s="973"/>
      <c r="H176" s="262"/>
      <c r="I176" s="1343"/>
      <c r="J176" s="1344"/>
      <c r="K176" s="1344"/>
      <c r="L176" s="1344"/>
      <c r="M176" s="1344"/>
      <c r="N176" s="1345"/>
      <c r="O176" s="194"/>
      <c r="P176" s="194"/>
      <c r="Q176" s="194"/>
      <c r="R176" s="194"/>
    </row>
    <row r="177" spans="1:18" ht="14.25" customHeight="1" x14ac:dyDescent="0.25">
      <c r="A177" s="967"/>
      <c r="B177" s="974" t="s">
        <v>3948</v>
      </c>
      <c r="C177" s="1386" t="s">
        <v>5256</v>
      </c>
      <c r="D177" s="1386"/>
      <c r="E177" s="1386"/>
      <c r="F177" s="1387"/>
      <c r="H177" s="26"/>
      <c r="I177" s="1343"/>
      <c r="J177" s="1344"/>
      <c r="K177" s="1344"/>
      <c r="L177" s="1344"/>
      <c r="M177" s="1344"/>
      <c r="N177" s="1345"/>
      <c r="O177" s="194"/>
      <c r="P177" s="194"/>
      <c r="Q177" s="194"/>
      <c r="R177" s="194"/>
    </row>
    <row r="178" spans="1:18" ht="56.25" customHeight="1" x14ac:dyDescent="0.25">
      <c r="A178" s="967"/>
      <c r="B178" s="974"/>
      <c r="C178" s="1386"/>
      <c r="D178" s="1386"/>
      <c r="E178" s="1386"/>
      <c r="F178" s="1387"/>
      <c r="H178" s="26"/>
      <c r="I178" s="1343"/>
      <c r="J178" s="1344"/>
      <c r="K178" s="1344"/>
      <c r="L178" s="1344"/>
      <c r="M178" s="1344"/>
      <c r="N178" s="1345"/>
      <c r="O178" s="194"/>
      <c r="P178" s="194"/>
      <c r="Q178" s="194"/>
      <c r="R178" s="194"/>
    </row>
    <row r="179" spans="1:18" ht="33" customHeight="1" x14ac:dyDescent="0.25">
      <c r="A179" s="967"/>
      <c r="B179" s="975"/>
      <c r="C179" s="1388" t="s">
        <v>5258</v>
      </c>
      <c r="D179" s="1388"/>
      <c r="E179" s="1388"/>
      <c r="F179" s="1389"/>
      <c r="H179" s="26"/>
      <c r="I179" s="1343"/>
      <c r="J179" s="1344"/>
      <c r="K179" s="1344"/>
      <c r="L179" s="1344"/>
      <c r="M179" s="1344"/>
      <c r="N179" s="1345"/>
      <c r="O179" s="194"/>
      <c r="P179" s="194"/>
      <c r="Q179" s="194"/>
      <c r="R179" s="194"/>
    </row>
    <row r="180" spans="1:18" ht="14.25" customHeight="1" x14ac:dyDescent="0.25">
      <c r="A180" s="967"/>
      <c r="B180" s="501" t="s">
        <v>4619</v>
      </c>
      <c r="C180" s="976"/>
      <c r="D180" s="968"/>
      <c r="E180" s="968"/>
      <c r="F180"/>
      <c r="H180" s="26"/>
      <c r="I180" s="1343"/>
      <c r="J180" s="1344"/>
      <c r="K180" s="1344"/>
      <c r="L180" s="1344"/>
      <c r="M180" s="1344"/>
      <c r="N180" s="1345"/>
      <c r="O180" s="194"/>
      <c r="P180" s="194"/>
      <c r="Q180" s="194"/>
      <c r="R180" s="194"/>
    </row>
    <row r="181" spans="1:18" ht="14.25" customHeight="1" x14ac:dyDescent="0.25">
      <c r="A181" s="967"/>
      <c r="B181" s="501" t="s">
        <v>5255</v>
      </c>
      <c r="C181"/>
      <c r="D181" s="968"/>
      <c r="E181" s="968"/>
      <c r="F181"/>
      <c r="H181" s="26"/>
      <c r="I181" s="1343"/>
      <c r="J181" s="1344"/>
      <c r="K181" s="1344"/>
      <c r="L181" s="1344"/>
      <c r="M181" s="1344"/>
      <c r="N181" s="1345"/>
      <c r="O181" s="194"/>
      <c r="P181" s="194"/>
      <c r="Q181" s="194"/>
      <c r="R181" s="194"/>
    </row>
    <row r="182" spans="1:18" ht="14.25" customHeight="1" x14ac:dyDescent="0.25">
      <c r="A182" s="967"/>
      <c r="B182" s="501" t="s">
        <v>3901</v>
      </c>
      <c r="C182" s="978"/>
      <c r="D182" s="968"/>
      <c r="E182" s="968"/>
      <c r="F182"/>
      <c r="H182" s="26"/>
      <c r="I182" s="1343"/>
      <c r="J182" s="1344"/>
      <c r="K182" s="1344"/>
      <c r="L182" s="1344"/>
      <c r="M182" s="1344"/>
      <c r="N182" s="1345"/>
      <c r="O182" s="194"/>
      <c r="P182" s="194"/>
      <c r="Q182" s="194"/>
      <c r="R182" s="194"/>
    </row>
    <row r="183" spans="1:18" ht="14.25" customHeight="1" x14ac:dyDescent="0.25">
      <c r="A183" s="967"/>
      <c r="B183" s="501" t="s">
        <v>4656</v>
      </c>
      <c r="C183" s="977">
        <f>IF(C182="Yes",5,0)</f>
        <v>0</v>
      </c>
      <c r="D183" s="968"/>
      <c r="E183" s="968"/>
      <c r="F183"/>
      <c r="H183" s="26"/>
      <c r="I183" s="1343"/>
      <c r="J183" s="1344"/>
      <c r="K183" s="1344"/>
      <c r="L183" s="1344"/>
      <c r="M183" s="1344"/>
      <c r="N183" s="1345"/>
      <c r="O183" s="194"/>
      <c r="P183" s="194"/>
      <c r="Q183" s="194"/>
      <c r="R183" s="194"/>
    </row>
    <row r="184" spans="1:18" ht="14.25" customHeight="1" x14ac:dyDescent="0.25">
      <c r="A184" s="967"/>
      <c r="B184" s="333"/>
      <c r="C184" s="333"/>
      <c r="D184" s="968"/>
      <c r="E184" s="968"/>
      <c r="F184"/>
      <c r="H184" s="26" t="s">
        <v>5259</v>
      </c>
      <c r="I184" s="1343"/>
      <c r="J184" s="1344"/>
      <c r="K184" s="1344"/>
      <c r="L184" s="1344"/>
      <c r="M184" s="1344"/>
      <c r="N184" s="1345"/>
      <c r="O184" s="194"/>
      <c r="P184" s="194"/>
      <c r="Q184" s="194"/>
      <c r="R184" s="194"/>
    </row>
    <row r="185" spans="1:18" ht="14.25" customHeight="1" x14ac:dyDescent="0.25">
      <c r="A185" s="822">
        <f>C189</f>
        <v>0</v>
      </c>
      <c r="B185" s="753" t="s">
        <v>5260</v>
      </c>
      <c r="C185" s="112"/>
      <c r="D185" s="113"/>
      <c r="E185" s="114"/>
      <c r="F185" s="115"/>
      <c r="H185" s="262"/>
      <c r="I185" s="1343"/>
      <c r="J185" s="1344"/>
      <c r="K185" s="1344"/>
      <c r="L185" s="1344"/>
      <c r="M185" s="1344"/>
      <c r="N185" s="1345"/>
      <c r="O185" s="194"/>
      <c r="P185" s="194"/>
      <c r="Q185" s="194"/>
      <c r="R185" s="194"/>
    </row>
    <row r="186" spans="1:18" ht="14.25" customHeight="1" x14ac:dyDescent="0.25">
      <c r="A186" s="261"/>
      <c r="B186" s="492" t="s">
        <v>3948</v>
      </c>
      <c r="C186" s="1338" t="s">
        <v>5261</v>
      </c>
      <c r="D186" s="1338"/>
      <c r="E186" s="1338"/>
      <c r="F186" s="1339"/>
      <c r="H186" s="26"/>
      <c r="I186" s="1343"/>
      <c r="J186" s="1344"/>
      <c r="K186" s="1344"/>
      <c r="L186" s="1344"/>
      <c r="M186" s="1344"/>
      <c r="N186" s="1345"/>
      <c r="O186" s="194"/>
      <c r="P186" s="194"/>
      <c r="Q186" s="194"/>
      <c r="R186" s="194"/>
    </row>
    <row r="187" spans="1:18" ht="14.25" customHeight="1" x14ac:dyDescent="0.25">
      <c r="A187" s="261"/>
      <c r="B187" s="491"/>
      <c r="C187" s="1372"/>
      <c r="D187" s="1372"/>
      <c r="E187" s="1372"/>
      <c r="F187" s="1373"/>
      <c r="H187" s="26"/>
      <c r="I187" s="1343"/>
      <c r="J187" s="1344"/>
      <c r="K187" s="1344"/>
      <c r="L187" s="1344"/>
      <c r="M187" s="1344"/>
      <c r="N187" s="1345"/>
      <c r="O187" s="194"/>
      <c r="P187" s="194"/>
      <c r="Q187" s="194"/>
      <c r="R187" s="194"/>
    </row>
    <row r="188" spans="1:18" ht="14.25" customHeight="1" x14ac:dyDescent="0.25">
      <c r="A188" s="261"/>
      <c r="B188" s="37" t="s">
        <v>2958</v>
      </c>
      <c r="C188" s="263"/>
      <c r="D188" s="26"/>
      <c r="E188" s="26"/>
      <c r="H188" s="26"/>
      <c r="I188" s="1343"/>
      <c r="J188" s="1344"/>
      <c r="K188" s="1344"/>
      <c r="L188" s="1344"/>
      <c r="M188" s="1344"/>
      <c r="N188" s="1345"/>
      <c r="O188" s="194"/>
      <c r="P188" s="194"/>
      <c r="Q188" s="194"/>
      <c r="R188" s="194"/>
    </row>
    <row r="189" spans="1:18" ht="14.25" customHeight="1" x14ac:dyDescent="0.25">
      <c r="A189" s="261"/>
      <c r="B189" s="37" t="s">
        <v>4656</v>
      </c>
      <c r="C189" s="783">
        <f>IF(C188="Very High",5,IF(C188="High",4,IF(C188="Moderate",3,IF(C188="Low",2,IF(C188="Very Low",1,0)))))</f>
        <v>0</v>
      </c>
      <c r="D189" s="26"/>
      <c r="E189" s="26"/>
      <c r="H189" s="26"/>
      <c r="I189" s="1343"/>
      <c r="J189" s="1344"/>
      <c r="K189" s="1344"/>
      <c r="L189" s="1344"/>
      <c r="M189" s="1344"/>
      <c r="N189" s="1345"/>
      <c r="O189" s="194"/>
      <c r="P189" s="194"/>
      <c r="Q189" s="194"/>
      <c r="R189" s="194"/>
    </row>
    <row r="190" spans="1:18" s="348" customFormat="1" ht="14.25" customHeight="1" x14ac:dyDescent="0.25">
      <c r="A190" s="967"/>
      <c r="B190" s="333"/>
      <c r="C190" s="333"/>
      <c r="D190" s="968"/>
      <c r="E190" s="968"/>
      <c r="F190"/>
      <c r="G190"/>
      <c r="H190" s="968" t="s">
        <v>5275</v>
      </c>
      <c r="I190" s="1343"/>
      <c r="J190" s="1344"/>
      <c r="K190" s="1344"/>
      <c r="L190" s="1344"/>
      <c r="M190" s="1344"/>
      <c r="N190" s="1345"/>
      <c r="O190" s="980"/>
      <c r="P190" s="980"/>
      <c r="Q190" s="980"/>
      <c r="R190" s="980"/>
    </row>
    <row r="191" spans="1:18" ht="14.25" customHeight="1" x14ac:dyDescent="0.25">
      <c r="A191" s="822">
        <f>IF(C196+C201&gt;5,5,SUM(C196+C201))</f>
        <v>0</v>
      </c>
      <c r="B191" s="981" t="s">
        <v>5268</v>
      </c>
      <c r="C191" s="112"/>
      <c r="D191" s="113"/>
      <c r="E191" s="114"/>
      <c r="F191" s="115"/>
      <c r="H191" s="262"/>
      <c r="I191" s="1343"/>
      <c r="J191" s="1344"/>
      <c r="K191" s="1344"/>
      <c r="L191" s="1344"/>
      <c r="M191" s="1344"/>
      <c r="N191" s="1345"/>
      <c r="O191" s="194"/>
      <c r="P191" s="194"/>
      <c r="Q191" s="194"/>
      <c r="R191" s="194"/>
    </row>
    <row r="192" spans="1:18" ht="14.25" customHeight="1" x14ac:dyDescent="0.25">
      <c r="A192" s="261"/>
      <c r="B192" s="492" t="s">
        <v>3948</v>
      </c>
      <c r="C192" s="1338" t="s">
        <v>5269</v>
      </c>
      <c r="D192" s="1338"/>
      <c r="E192" s="1338"/>
      <c r="F192" s="1339"/>
      <c r="H192" s="26"/>
      <c r="I192" s="1343"/>
      <c r="J192" s="1344"/>
      <c r="K192" s="1344"/>
      <c r="L192" s="1344"/>
      <c r="M192" s="1344"/>
      <c r="N192" s="1345"/>
      <c r="O192" s="194"/>
      <c r="P192" s="194"/>
      <c r="Q192" s="194"/>
      <c r="R192" s="194"/>
    </row>
    <row r="193" spans="1:18" ht="14.25" customHeight="1" x14ac:dyDescent="0.25">
      <c r="A193" s="261"/>
      <c r="B193" s="492"/>
      <c r="C193" s="1338"/>
      <c r="D193" s="1338"/>
      <c r="E193" s="1338"/>
      <c r="F193" s="1339"/>
      <c r="H193" s="26"/>
      <c r="I193" s="1343"/>
      <c r="J193" s="1344"/>
      <c r="K193" s="1344"/>
      <c r="L193" s="1344"/>
      <c r="M193" s="1344"/>
      <c r="N193" s="1345"/>
      <c r="O193" s="194"/>
      <c r="P193" s="194"/>
      <c r="Q193" s="194"/>
      <c r="R193" s="194"/>
    </row>
    <row r="194" spans="1:18" ht="45.75" customHeight="1" x14ac:dyDescent="0.25">
      <c r="A194" s="261"/>
      <c r="B194" s="491"/>
      <c r="C194" s="1260" t="s">
        <v>5270</v>
      </c>
      <c r="D194" s="1260"/>
      <c r="E194" s="1260"/>
      <c r="F194" s="1261"/>
      <c r="H194" s="26"/>
      <c r="I194" s="1343"/>
      <c r="J194" s="1344"/>
      <c r="K194" s="1344"/>
      <c r="L194" s="1344"/>
      <c r="M194" s="1344"/>
      <c r="N194" s="1345"/>
      <c r="O194" s="194"/>
      <c r="P194" s="194"/>
      <c r="Q194" s="194"/>
      <c r="R194" s="194"/>
    </row>
    <row r="195" spans="1:18" ht="14.25" customHeight="1" x14ac:dyDescent="0.25">
      <c r="A195" s="261"/>
      <c r="B195" s="37" t="s">
        <v>5271</v>
      </c>
      <c r="C195" s="263"/>
      <c r="D195" s="1020" t="s">
        <v>5272</v>
      </c>
      <c r="E195" s="26"/>
      <c r="H195" s="26"/>
      <c r="I195" s="1343"/>
      <c r="J195" s="1344"/>
      <c r="K195" s="1344"/>
      <c r="L195" s="1344"/>
      <c r="M195" s="1344"/>
      <c r="N195" s="1345"/>
      <c r="O195" s="194"/>
      <c r="P195" s="194"/>
      <c r="Q195" s="194"/>
      <c r="R195" s="194"/>
    </row>
    <row r="196" spans="1:18" ht="14.25" customHeight="1" x14ac:dyDescent="0.25">
      <c r="A196" s="261"/>
      <c r="B196" s="37" t="s">
        <v>4656</v>
      </c>
      <c r="C196" s="783">
        <f>IF(C195="General Partner Parent",5,IF(C195="3rd Party",5,0))</f>
        <v>0</v>
      </c>
      <c r="D196" s="26"/>
      <c r="E196" s="26"/>
      <c r="H196" s="26"/>
      <c r="I196" s="1343"/>
      <c r="J196" s="1344"/>
      <c r="K196" s="1344"/>
      <c r="L196" s="1344"/>
      <c r="M196" s="1344"/>
      <c r="N196" s="1345"/>
      <c r="O196" s="194"/>
      <c r="P196" s="194"/>
      <c r="Q196" s="194"/>
      <c r="R196" s="194"/>
    </row>
    <row r="197" spans="1:18" ht="14.25" customHeight="1" x14ac:dyDescent="0.25">
      <c r="A197" s="967"/>
      <c r="B197" s="501"/>
      <c r="C197" s="983"/>
      <c r="D197" s="968"/>
      <c r="E197" s="968"/>
      <c r="F197"/>
      <c r="G197"/>
      <c r="H197" s="26"/>
      <c r="I197" s="1343"/>
      <c r="J197" s="1344"/>
      <c r="K197" s="1344"/>
      <c r="L197" s="1344"/>
      <c r="M197" s="1344"/>
      <c r="N197" s="1345"/>
      <c r="O197" s="194"/>
      <c r="P197" s="194"/>
      <c r="Q197" s="194"/>
      <c r="R197" s="194"/>
    </row>
    <row r="198" spans="1:18" ht="14.25" customHeight="1" x14ac:dyDescent="0.25">
      <c r="A198" s="261"/>
      <c r="B198" s="37" t="s">
        <v>5273</v>
      </c>
      <c r="C198" s="263"/>
      <c r="D198" s="26"/>
      <c r="E198" s="26"/>
      <c r="H198" s="26"/>
      <c r="I198" s="1343"/>
      <c r="J198" s="1344"/>
      <c r="K198" s="1344"/>
      <c r="L198" s="1344"/>
      <c r="M198" s="1344"/>
      <c r="N198" s="1345"/>
      <c r="O198" s="194"/>
      <c r="P198" s="194"/>
      <c r="Q198" s="194"/>
      <c r="R198" s="194"/>
    </row>
    <row r="199" spans="1:18" ht="14.25" customHeight="1" x14ac:dyDescent="0.25">
      <c r="A199" s="261"/>
      <c r="B199" s="37" t="s">
        <v>5274</v>
      </c>
      <c r="C199" s="171"/>
      <c r="E199" s="26"/>
      <c r="H199" s="26"/>
      <c r="I199" s="1343"/>
      <c r="J199" s="1344"/>
      <c r="K199" s="1344"/>
      <c r="L199" s="1344"/>
      <c r="M199" s="1344"/>
      <c r="N199" s="1345"/>
      <c r="O199" s="194"/>
      <c r="P199" s="194"/>
      <c r="Q199" s="194"/>
      <c r="R199" s="194"/>
    </row>
    <row r="200" spans="1:18" ht="14.25" customHeight="1" x14ac:dyDescent="0.25">
      <c r="A200" s="261"/>
      <c r="B200" s="37" t="s">
        <v>4637</v>
      </c>
      <c r="C200" s="171"/>
      <c r="D200" s="5" t="s">
        <v>4636</v>
      </c>
      <c r="E200" s="26"/>
      <c r="H200" s="26"/>
      <c r="I200" s="1343"/>
      <c r="J200" s="1344"/>
      <c r="K200" s="1344"/>
      <c r="L200" s="1344"/>
      <c r="M200" s="1344"/>
      <c r="N200" s="1345"/>
      <c r="O200" s="194"/>
      <c r="P200" s="194"/>
      <c r="Q200" s="194"/>
      <c r="R200" s="194"/>
    </row>
    <row r="201" spans="1:18" ht="14.25" customHeight="1" thickBot="1" x14ac:dyDescent="0.3">
      <c r="A201" s="261"/>
      <c r="B201" s="37" t="s">
        <v>4867</v>
      </c>
      <c r="C201" s="775">
        <f>IF(C198="Yes",5,0)</f>
        <v>0</v>
      </c>
      <c r="D201" s="26"/>
      <c r="E201" s="26"/>
      <c r="H201" s="26"/>
      <c r="I201" s="1346"/>
      <c r="J201" s="1347"/>
      <c r="K201" s="1347"/>
      <c r="L201" s="1347"/>
      <c r="M201" s="1347"/>
      <c r="N201" s="1348"/>
      <c r="O201" s="194"/>
      <c r="P201" s="194"/>
      <c r="Q201" s="194"/>
      <c r="R201" s="194"/>
    </row>
    <row r="202" spans="1:18" ht="15.75" thickBot="1" x14ac:dyDescent="0.3">
      <c r="A202" s="261"/>
      <c r="B202" s="5"/>
      <c r="D202" s="26"/>
      <c r="E202" s="26"/>
      <c r="I202" s="134" t="s">
        <v>3985</v>
      </c>
      <c r="K202" s="817">
        <f>SUM(H134,H113,H103,H90,H72,H48,H21)</f>
        <v>0</v>
      </c>
    </row>
    <row r="203" spans="1:18" ht="27.75" customHeight="1" thickBot="1" x14ac:dyDescent="0.3">
      <c r="A203" s="474" t="s">
        <v>3902</v>
      </c>
      <c r="B203" s="108"/>
      <c r="C203" s="109"/>
      <c r="D203" s="109"/>
      <c r="E203" s="109"/>
      <c r="F203" s="107"/>
      <c r="I203" s="1350" t="s">
        <v>3905</v>
      </c>
      <c r="J203" s="1351"/>
      <c r="K203" s="1351"/>
      <c r="L203" s="1351"/>
      <c r="M203" s="1351"/>
      <c r="N203" s="1352"/>
    </row>
    <row r="204" spans="1:18" ht="15" x14ac:dyDescent="0.25">
      <c r="A204" s="96" t="s">
        <v>3958</v>
      </c>
      <c r="B204" s="5"/>
      <c r="C204" s="839">
        <f>SUM(F22,F49,F73,F91,F104,F114,F135)</f>
        <v>0</v>
      </c>
      <c r="H204" s="986"/>
      <c r="I204" s="1353"/>
      <c r="J204" s="1354"/>
      <c r="K204" s="1354"/>
      <c r="L204" s="1354"/>
      <c r="M204" s="1354"/>
      <c r="N204" s="1355"/>
    </row>
    <row r="205" spans="1:18" ht="15" x14ac:dyDescent="0.25">
      <c r="A205" s="96"/>
      <c r="B205" s="615" t="s">
        <v>4676</v>
      </c>
      <c r="C205" s="840" t="str">
        <f>IF(C204&lt;62.999,"Not eligible","Eligible")</f>
        <v>Not eligible</v>
      </c>
      <c r="H205" s="987"/>
      <c r="I205" s="1356"/>
      <c r="J205" s="1357"/>
      <c r="K205" s="1357"/>
      <c r="L205" s="1357"/>
      <c r="M205" s="1357"/>
      <c r="N205" s="1358"/>
    </row>
    <row r="206" spans="1:18" ht="15" x14ac:dyDescent="0.25">
      <c r="A206" s="96"/>
      <c r="B206" s="5"/>
      <c r="I206" s="1356"/>
      <c r="J206" s="1357"/>
      <c r="K206" s="1357"/>
      <c r="L206" s="1357"/>
      <c r="M206" s="1357"/>
      <c r="N206" s="1358"/>
    </row>
    <row r="207" spans="1:18" ht="15" x14ac:dyDescent="0.25">
      <c r="A207" s="96" t="s">
        <v>5277</v>
      </c>
      <c r="C207" s="11" t="s">
        <v>3125</v>
      </c>
      <c r="D207" s="11" t="s">
        <v>5278</v>
      </c>
      <c r="E207" s="988"/>
      <c r="I207" s="1356"/>
      <c r="J207" s="1357"/>
      <c r="K207" s="1357"/>
      <c r="L207" s="1357"/>
      <c r="M207" s="1357"/>
      <c r="N207" s="1358"/>
    </row>
    <row r="208" spans="1:18" x14ac:dyDescent="0.2">
      <c r="C208" s="1021">
        <f>'Project Details'!G11</f>
        <v>0</v>
      </c>
      <c r="D208" s="708"/>
      <c r="E208" s="989"/>
      <c r="I208" s="1356"/>
      <c r="J208" s="1357"/>
      <c r="K208" s="1357"/>
      <c r="L208" s="1357"/>
      <c r="M208" s="1357"/>
      <c r="N208" s="1358"/>
    </row>
    <row r="209" spans="1:14" ht="15.75" thickBot="1" x14ac:dyDescent="0.3">
      <c r="B209" s="5"/>
      <c r="D209" s="40"/>
      <c r="I209" s="1359"/>
      <c r="J209" s="1360"/>
      <c r="K209" s="1360"/>
      <c r="L209" s="1360"/>
      <c r="M209" s="1360"/>
      <c r="N209" s="1361"/>
    </row>
    <row r="210" spans="1:14" ht="15" thickBot="1" x14ac:dyDescent="0.25">
      <c r="H210" s="9"/>
    </row>
    <row r="211" spans="1:14" ht="15.75" thickBot="1" x14ac:dyDescent="0.3">
      <c r="A211" s="96" t="s">
        <v>5279</v>
      </c>
      <c r="C211" s="992"/>
      <c r="D211" s="97"/>
      <c r="H211" s="987"/>
      <c r="I211" s="1350" t="s">
        <v>3906</v>
      </c>
      <c r="J211" s="1351"/>
      <c r="K211" s="1351"/>
      <c r="L211" s="1351"/>
      <c r="M211" s="1351"/>
      <c r="N211" s="1352"/>
    </row>
    <row r="212" spans="1:14" ht="15" x14ac:dyDescent="0.25">
      <c r="A212" s="96"/>
      <c r="B212" s="5"/>
      <c r="D212" s="97"/>
      <c r="I212" s="1353"/>
      <c r="J212" s="1354"/>
      <c r="K212" s="1354"/>
      <c r="L212" s="1354"/>
      <c r="M212" s="1354"/>
      <c r="N212" s="1355"/>
    </row>
    <row r="213" spans="1:14" ht="15" x14ac:dyDescent="0.25">
      <c r="A213" s="58"/>
      <c r="B213" s="501"/>
      <c r="C213" s="333"/>
      <c r="D213" s="97"/>
      <c r="I213" s="1356"/>
      <c r="J213" s="1357"/>
      <c r="K213" s="1357"/>
      <c r="L213" s="1357"/>
      <c r="M213" s="1357"/>
      <c r="N213" s="1358"/>
    </row>
    <row r="214" spans="1:14" ht="15" x14ac:dyDescent="0.25">
      <c r="A214" s="58"/>
      <c r="B214"/>
      <c r="C214"/>
      <c r="D214" s="97"/>
      <c r="I214" s="1356"/>
      <c r="J214" s="1357"/>
      <c r="K214" s="1357"/>
      <c r="L214" s="1357"/>
      <c r="M214" s="1357"/>
      <c r="N214" s="1358"/>
    </row>
    <row r="215" spans="1:14" ht="15" thickBot="1" x14ac:dyDescent="0.25">
      <c r="I215" s="1359"/>
      <c r="J215" s="1360"/>
      <c r="K215" s="1360"/>
      <c r="L215" s="1360"/>
      <c r="M215" s="1360"/>
      <c r="N215" s="1361"/>
    </row>
    <row r="216" spans="1:14" x14ac:dyDescent="0.2">
      <c r="H216" s="985"/>
    </row>
    <row r="217" spans="1:14" ht="15" x14ac:dyDescent="0.25">
      <c r="H217" s="967"/>
      <c r="I217" s="1362"/>
      <c r="J217" s="1362"/>
      <c r="K217" s="1362"/>
      <c r="L217" s="1362"/>
      <c r="M217" s="1362"/>
      <c r="N217" s="1362"/>
    </row>
    <row r="218" spans="1:14" x14ac:dyDescent="0.2">
      <c r="I218" s="1349"/>
      <c r="J218" s="1349"/>
      <c r="K218" s="1349"/>
      <c r="L218" s="1349"/>
      <c r="M218" s="1349"/>
      <c r="N218" s="1349"/>
    </row>
    <row r="219" spans="1:14" x14ac:dyDescent="0.2">
      <c r="I219" s="1349"/>
      <c r="J219" s="1349"/>
      <c r="K219" s="1349"/>
      <c r="L219" s="1349"/>
      <c r="M219" s="1349"/>
      <c r="N219" s="1349"/>
    </row>
    <row r="220" spans="1:14" x14ac:dyDescent="0.2">
      <c r="I220" s="1349"/>
      <c r="J220" s="1349"/>
      <c r="K220" s="1349"/>
      <c r="L220" s="1349"/>
      <c r="M220" s="1349"/>
      <c r="N220" s="1349"/>
    </row>
    <row r="221" spans="1:14" x14ac:dyDescent="0.2">
      <c r="I221" s="1349"/>
      <c r="J221" s="1349"/>
      <c r="K221" s="1349"/>
      <c r="L221" s="1349"/>
      <c r="M221" s="1349"/>
      <c r="N221" s="1349"/>
    </row>
  </sheetData>
  <sheetProtection algorithmName="SHA-512" hashValue="/IRAHyksv/Ukrb/peA5Bhox/J85PXTc8UNaOsS4rxxm4i7xW6wusaL8ln4KEEUBrU4BPkPzbgHSnpMlKdOfjYw==" saltValue="awovoXULlYoPOg0rvI4lpA==" spinCount="100000" sheet="1" objects="1" scenarios="1"/>
  <mergeCells count="72">
    <mergeCell ref="C65:D65"/>
    <mergeCell ref="C66:D66"/>
    <mergeCell ref="C177:F178"/>
    <mergeCell ref="C179:F179"/>
    <mergeCell ref="C186:F187"/>
    <mergeCell ref="A135:C135"/>
    <mergeCell ref="C137:F137"/>
    <mergeCell ref="C169:F169"/>
    <mergeCell ref="C147:F147"/>
    <mergeCell ref="C168:F168"/>
    <mergeCell ref="C148:F148"/>
    <mergeCell ref="C162:F163"/>
    <mergeCell ref="B129:C129"/>
    <mergeCell ref="B130:C130"/>
    <mergeCell ref="B131:C131"/>
    <mergeCell ref="B128:C128"/>
    <mergeCell ref="C67:D67"/>
    <mergeCell ref="B125:C125"/>
    <mergeCell ref="B126:C126"/>
    <mergeCell ref="B127:C127"/>
    <mergeCell ref="A73:C73"/>
    <mergeCell ref="A91:C91"/>
    <mergeCell ref="A104:C104"/>
    <mergeCell ref="A114:C114"/>
    <mergeCell ref="C106:F106"/>
    <mergeCell ref="C116:F116"/>
    <mergeCell ref="B123:C123"/>
    <mergeCell ref="B124:C124"/>
    <mergeCell ref="A4:F4"/>
    <mergeCell ref="C24:F24"/>
    <mergeCell ref="C29:F29"/>
    <mergeCell ref="C35:F35"/>
    <mergeCell ref="B12:F12"/>
    <mergeCell ref="B16:F16"/>
    <mergeCell ref="B14:F14"/>
    <mergeCell ref="C9:D9"/>
    <mergeCell ref="A22:C22"/>
    <mergeCell ref="D17:F17"/>
    <mergeCell ref="D18:F18"/>
    <mergeCell ref="D13:F13"/>
    <mergeCell ref="I48:N48"/>
    <mergeCell ref="I49:N70"/>
    <mergeCell ref="I72:N72"/>
    <mergeCell ref="I90:N90"/>
    <mergeCell ref="C5:D5"/>
    <mergeCell ref="C62:F62"/>
    <mergeCell ref="A49:C49"/>
    <mergeCell ref="C57:F57"/>
    <mergeCell ref="C59:F59"/>
    <mergeCell ref="C68:D68"/>
    <mergeCell ref="C69:D69"/>
    <mergeCell ref="I21:N21"/>
    <mergeCell ref="I22:N41"/>
    <mergeCell ref="C55:F55"/>
    <mergeCell ref="C63:D63"/>
    <mergeCell ref="C64:D64"/>
    <mergeCell ref="I103:N103"/>
    <mergeCell ref="I113:N113"/>
    <mergeCell ref="I73:N88"/>
    <mergeCell ref="I91:N100"/>
    <mergeCell ref="I104:N110"/>
    <mergeCell ref="I114:N132"/>
    <mergeCell ref="I204:N209"/>
    <mergeCell ref="I203:N203"/>
    <mergeCell ref="I217:N217"/>
    <mergeCell ref="I211:N211"/>
    <mergeCell ref="I212:N215"/>
    <mergeCell ref="C192:F193"/>
    <mergeCell ref="C194:F194"/>
    <mergeCell ref="I135:N201"/>
    <mergeCell ref="I218:N221"/>
    <mergeCell ref="I134:N134"/>
  </mergeCells>
  <conditionalFormatting sqref="A4:F4">
    <cfRule type="expression" dxfId="60" priority="268">
      <formula>$C$5&lt;&gt;$C$10</formula>
    </cfRule>
  </conditionalFormatting>
  <conditionalFormatting sqref="A5:F175 A202:F214">
    <cfRule type="expression" dxfId="59" priority="94">
      <formula>$C$5&lt;&gt;$C$10</formula>
    </cfRule>
  </conditionalFormatting>
  <conditionalFormatting sqref="G5:G6">
    <cfRule type="expression" dxfId="58" priority="89">
      <formula>IF(OR(F5="Low",F5="Very Low"),"Ineligible Tract","")</formula>
    </cfRule>
  </conditionalFormatting>
  <conditionalFormatting sqref="G7">
    <cfRule type="expression" dxfId="57" priority="88">
      <formula>IF(OR(AND(F5="Moderate",F7="Slight Decline"),AND(F5="Moderate",F7="Strong Decline")),"Ineliglble Tract","")</formula>
    </cfRule>
  </conditionalFormatting>
  <conditionalFormatting sqref="G8">
    <cfRule type="expression" dxfId="56" priority="87">
      <formula>IF(F8&gt;0.35,"No more than 35% of aff units may be one-bedroom and/or efficiencies""")</formula>
    </cfRule>
  </conditionalFormatting>
  <conditionalFormatting sqref="G9">
    <cfRule type="expression" dxfId="55" priority="86">
      <formula>IF(F9&lt;0.05,"5% of affordable units must be 3+ bedrooms and also be affordable to those earning 60% AMI or less","")</formula>
    </cfRule>
  </conditionalFormatting>
  <conditionalFormatting sqref="D17">
    <cfRule type="expression" dxfId="54" priority="67">
      <formula>$C$17="Very Low"</formula>
    </cfRule>
    <cfRule type="expression" dxfId="53" priority="74">
      <formula>C17="Low"</formula>
    </cfRule>
  </conditionalFormatting>
  <conditionalFormatting sqref="D18:D19">
    <cfRule type="expression" dxfId="52" priority="73">
      <formula>IF(OR(AND(C17="Moderate",C18="Slight Decline"),AND(C17="Moderate",C18="Strong Decline")),"Ineliglble Tract","")</formula>
    </cfRule>
  </conditionalFormatting>
  <conditionalFormatting sqref="D15">
    <cfRule type="expression" dxfId="51" priority="71">
      <formula>$C$15="Non-Urban"</formula>
    </cfRule>
  </conditionalFormatting>
  <conditionalFormatting sqref="D13">
    <cfRule type="expression" dxfId="50" priority="70">
      <formula>$C$13="Preserved Affordability"</formula>
    </cfRule>
  </conditionalFormatting>
  <conditionalFormatting sqref="A185:F190">
    <cfRule type="expression" dxfId="49" priority="3">
      <formula>$C$5&lt;&gt;$C$10</formula>
    </cfRule>
  </conditionalFormatting>
  <conditionalFormatting sqref="A191:F193 A195:F197 A194:C194 A201:F201">
    <cfRule type="expression" dxfId="48" priority="2">
      <formula>$C$5&lt;&gt;$C$10</formula>
    </cfRule>
  </conditionalFormatting>
  <conditionalFormatting sqref="A176:F184">
    <cfRule type="expression" dxfId="47" priority="4">
      <formula>#REF!&lt;&gt;#REF!</formula>
    </cfRule>
  </conditionalFormatting>
  <conditionalFormatting sqref="A198:F200">
    <cfRule type="expression" dxfId="46" priority="1">
      <formula>#REF!&lt;&gt;#REF!</formula>
    </cfRule>
  </conditionalFormatting>
  <dataValidations count="25">
    <dataValidation type="list" allowBlank="1" showInputMessage="1" showErrorMessage="1" sqref="A16 C31 A14 A12 E63:E69 C182 C180 C198" xr:uid="{00000000-0002-0000-1200-000000000000}">
      <formula1>"Yes,No"</formula1>
    </dataValidation>
    <dataValidation type="list" allowBlank="1" showInputMessage="1" showErrorMessage="1" sqref="A23 A28 A34 A39 H28 H34 H39 H23 H74 H79 H84" xr:uid="{00000000-0002-0000-1200-000001000000}">
      <formula1>"0,10"</formula1>
    </dataValidation>
    <dataValidation type="list" allowBlank="1" showInputMessage="1" showErrorMessage="1" sqref="H50 H176 F159 H159 H191" xr:uid="{00000000-0002-0000-1200-000002000000}">
      <formula1>"0,5"</formula1>
    </dataValidation>
    <dataValidation type="list" allowBlank="1" showInputMessage="1" showErrorMessage="1" sqref="H136 C110 H105" xr:uid="{00000000-0002-0000-1200-000003000000}">
      <formula1>"0,1,3,5"</formula1>
    </dataValidation>
    <dataValidation type="list" allowBlank="1" showInputMessage="1" showErrorMessage="1" sqref="H167" xr:uid="{00000000-0002-0000-1200-000004000000}">
      <formula1>"0,3,4,5"</formula1>
    </dataValidation>
    <dataValidation type="list" allowBlank="1" showInputMessage="1" showErrorMessage="1" sqref="H146 C149" xr:uid="{00000000-0002-0000-1200-000005000000}">
      <formula1>"0,1,2,3,4,5,6,7,8,9,10"</formula1>
    </dataValidation>
    <dataValidation type="list" allowBlank="1" showInputMessage="1" showErrorMessage="1" sqref="H161" xr:uid="{00000000-0002-0000-1200-000006000000}">
      <formula1>"0,3,5"</formula1>
    </dataValidation>
    <dataValidation type="list" allowBlank="1" showInputMessage="1" showErrorMessage="1" sqref="C170" xr:uid="{00000000-0002-0000-1200-000007000000}">
      <formula1>"3000-3999 jobs, 4000-4999 jobs, 5000 or more jobs"</formula1>
    </dataValidation>
    <dataValidation type="list" allowBlank="1" showInputMessage="1" showErrorMessage="1" sqref="C173" xr:uid="{00000000-0002-0000-1200-000008000000}">
      <formula1>"0.5-0.99,1.0-1.5,Greater than 1.5"</formula1>
    </dataValidation>
    <dataValidation type="list" allowBlank="1" showInputMessage="1" showErrorMessage="1" sqref="C164" xr:uid="{00000000-0002-0000-1200-000009000000}">
      <formula1>"30% and below,20% and below"</formula1>
    </dataValidation>
    <dataValidation type="list" allowBlank="1" showInputMessage="1" showErrorMessage="1" sqref="C138" xr:uid="{00000000-0002-0000-1200-00000A000000}">
      <formula1>"1-2,3-5,6 or higher"</formula1>
    </dataValidation>
    <dataValidation type="list" allowBlank="1" showInputMessage="1" showErrorMessage="1" sqref="C52" xr:uid="{00000000-0002-0000-1200-00000B000000}">
      <formula1>"Onsite fitness area, Onsite health/wellness clinic, Facility partnership, None"</formula1>
    </dataValidation>
    <dataValidation type="list" allowBlank="1" showInputMessage="1" showErrorMessage="1" sqref="C37" xr:uid="{00000000-0002-0000-1200-00000C000000}">
      <formula1>"Owned,Developed,Sponsored"</formula1>
    </dataValidation>
    <dataValidation type="list" allowBlank="1" showInputMessage="1" showErrorMessage="1" sqref="E123:E131" xr:uid="{00000000-0002-0000-1200-00000D000000}">
      <formula1>"Applied,Secured"</formula1>
    </dataValidation>
    <dataValidation type="list" allowBlank="1" showInputMessage="1" showErrorMessage="1" sqref="C94" xr:uid="{00000000-0002-0000-1200-00000E000000}">
      <formula1>"30%-48%,&gt;48%-66%,Greater than 66%"</formula1>
    </dataValidation>
    <dataValidation type="list" allowBlank="1" showInputMessage="1" showErrorMessage="1" sqref="H61" xr:uid="{00000000-0002-0000-1200-00000F000000}">
      <formula1>"0,1,2,3,4,5"</formula1>
    </dataValidation>
    <dataValidation type="list" allowBlank="1" showInputMessage="1" showErrorMessage="1" sqref="H92" xr:uid="{00000000-0002-0000-1200-000010000000}">
      <formula1>"0,2,3,4,5"</formula1>
    </dataValidation>
    <dataValidation type="list" allowBlank="1" showInputMessage="1" showErrorMessage="1" sqref="C87" xr:uid="{00000000-0002-0000-1200-000011000000}">
      <formula1>"Yes, No"</formula1>
    </dataValidation>
    <dataValidation type="whole" allowBlank="1" showInputMessage="1" showErrorMessage="1" sqref="C101" xr:uid="{00000000-0002-0000-1200-000012000000}">
      <formula1>0</formula1>
      <formula2>5</formula2>
    </dataValidation>
    <dataValidation type="list" allowBlank="1" showInputMessage="1" showErrorMessage="1" sqref="C118" xr:uid="{00000000-0002-0000-1200-000013000000}">
      <formula1>"15, 10, 5, 0"</formula1>
    </dataValidation>
    <dataValidation type="list" allowBlank="1" showInputMessage="1" showErrorMessage="1" sqref="H115" xr:uid="{00000000-0002-0000-1200-000014000000}">
      <formula1>"15,10,5,0"</formula1>
    </dataValidation>
    <dataValidation type="list" allowBlank="1" showInputMessage="1" showErrorMessage="1" sqref="C188" xr:uid="{00000000-0002-0000-1200-000015000000}">
      <formula1>"Very High, High, Moderate, Low, Very Low"</formula1>
    </dataValidation>
    <dataValidation type="list" allowBlank="1" showInputMessage="1" showErrorMessage="1" sqref="C195" xr:uid="{00000000-0002-0000-1200-000016000000}">
      <formula1>"General Partner Parent, 3rd Party, N/A"</formula1>
    </dataValidation>
    <dataValidation type="list" allowBlank="1" showInputMessage="1" showErrorMessage="1" sqref="H141" xr:uid="{00000000-0002-0000-1200-000017000000}">
      <formula1>"0,,5"</formula1>
    </dataValidation>
    <dataValidation type="list" allowBlank="1" showInputMessage="1" showErrorMessage="1" sqref="H97 H185" xr:uid="{00000000-0002-0000-1200-000018000000}">
      <formula1>"1,2,3,4,5"</formula1>
    </dataValidation>
  </dataValidations>
  <hyperlinks>
    <hyperlink ref="B92" r:id="rId1" display="1. Percent of VLI Households" xr:uid="{00000000-0004-0000-1200-000000000000}"/>
    <hyperlink ref="B97" r:id="rId2" xr:uid="{00000000-0004-0000-1200-000001000000}"/>
    <hyperlink ref="B146" r:id="rId3" xr:uid="{00000000-0004-0000-1200-000002000000}"/>
    <hyperlink ref="B161" r:id="rId4" xr:uid="{00000000-0004-0000-1200-000003000000}"/>
    <hyperlink ref="B136" r:id="rId5" xr:uid="{00000000-0004-0000-1200-000004000000}"/>
    <hyperlink ref="B185" r:id="rId6" display="e. Low Poverty Area" xr:uid="{00000000-0004-0000-1200-000005000000}"/>
  </hyperlinks>
  <pageMargins left="0.7" right="0.7" top="0.75" bottom="0.75" header="0.3" footer="0.3"/>
  <pageSetup scale="36" orientation="portrait" r:id="rId7"/>
  <drawing r:id="rId8"/>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1200-000019000000}">
          <x14:formula1>
            <xm:f>Data!$J$86:$J$89</xm:f>
          </x14:formula1>
          <xm:sqref>C30 C25</xm:sqref>
        </x14:dataValidation>
        <x14:dataValidation type="list" allowBlank="1" showInputMessage="1" showErrorMessage="1" xr:uid="{00000000-0002-0000-1200-00001A000000}">
          <x14:formula1>
            <xm:f>Data!$J$82:$J$93</xm:f>
          </x14:formula1>
          <xm:sqref>C36</xm:sqref>
        </x14:dataValidation>
        <x14:dataValidation type="list" allowBlank="1" showInputMessage="1" showErrorMessage="1" xr:uid="{00000000-0002-0000-1200-00001B000000}">
          <x14:formula1>
            <xm:f>Data!$J$90:$J$91</xm:f>
          </x14:formula1>
          <xm:sqref>E25</xm:sqref>
        </x14:dataValidation>
        <x14:dataValidation type="list" allowBlank="1" showInputMessage="1" showErrorMessage="1" xr:uid="{00000000-0002-0000-1200-00001C000000}">
          <x14:formula1>
            <xm:f>Data!$J$120:$J$124</xm:f>
          </x14:formula1>
          <xm:sqref>C100</xm:sqref>
        </x14:dataValidation>
        <x14:dataValidation type="list" allowBlank="1" showInputMessage="1" showErrorMessage="1" xr:uid="{00000000-0002-0000-1200-00001D000000}">
          <x14:formula1>
            <xm:f>Data!$J$133:$J$143</xm:f>
          </x14:formula1>
          <xm:sqref>B123:C131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70C0"/>
  </sheetPr>
  <dimension ref="A1:R221"/>
  <sheetViews>
    <sheetView showGridLines="0" topLeftCell="A79" zoomScale="85" zoomScaleNormal="85" workbookViewId="0">
      <selection activeCell="D50" sqref="A1:XFD1048576"/>
    </sheetView>
  </sheetViews>
  <sheetFormatPr defaultColWidth="9" defaultRowHeight="14.25" x14ac:dyDescent="0.2"/>
  <cols>
    <col min="1" max="1" width="8.625" style="5" customWidth="1"/>
    <col min="2" max="2" width="32" style="37" customWidth="1"/>
    <col min="3" max="3" width="35.625" style="5" customWidth="1"/>
    <col min="4" max="4" width="42.5" style="5" customWidth="1"/>
    <col min="5" max="5" width="20.75" style="5" customWidth="1"/>
    <col min="6" max="6" width="24.125" style="5" customWidth="1"/>
    <col min="7" max="7" width="11.875" style="5" customWidth="1"/>
    <col min="8" max="8" width="11.125" style="5" hidden="1" customWidth="1"/>
    <col min="9" max="9" width="26.25" style="5" hidden="1" customWidth="1"/>
    <col min="10" max="14" width="7.875" style="5" hidden="1" customWidth="1"/>
    <col min="15" max="15" width="7.875" style="191" customWidth="1"/>
    <col min="16" max="17" width="9" style="191" customWidth="1"/>
    <col min="18" max="16384" width="9" style="191"/>
  </cols>
  <sheetData>
    <row r="1" spans="1:14" ht="54.95" customHeight="1" x14ac:dyDescent="0.2"/>
    <row r="2" spans="1:14" s="192" customFormat="1" ht="22.5" x14ac:dyDescent="0.3">
      <c r="A2" s="3" t="s">
        <v>6</v>
      </c>
      <c r="B2" s="94"/>
      <c r="C2" s="1"/>
      <c r="D2" s="1"/>
      <c r="E2" s="1"/>
      <c r="F2" s="1"/>
      <c r="G2" s="1"/>
      <c r="H2" s="1"/>
      <c r="I2" s="1"/>
      <c r="J2" s="1"/>
      <c r="K2" s="1"/>
      <c r="L2" s="1"/>
      <c r="M2" s="1"/>
      <c r="N2" s="1"/>
    </row>
    <row r="3" spans="1:14" s="193" customFormat="1" ht="15.75" x14ac:dyDescent="0.25">
      <c r="A3" s="146" t="str">
        <f>C5</f>
        <v>New Affordability-Metro/Suburban</v>
      </c>
      <c r="B3" s="95"/>
      <c r="C3" s="39"/>
      <c r="D3" s="2"/>
      <c r="E3" s="2"/>
      <c r="F3" s="2"/>
      <c r="G3" s="2"/>
      <c r="H3" s="2"/>
      <c r="I3" s="2"/>
      <c r="J3" s="2"/>
      <c r="K3" s="2"/>
      <c r="L3" s="2"/>
      <c r="M3" s="2"/>
      <c r="N3" s="2"/>
    </row>
    <row r="4" spans="1:14" x14ac:dyDescent="0.2">
      <c r="A4" s="1371" t="str">
        <f>IF(C5&lt;&gt;C10,"THIS IS THE WRONG POOL WORKBOOK -- DO NOT USE THIS WORKBOOK OR CHANGE POOL ON PROJECT DETAILS TAB","")</f>
        <v>THIS IS THE WRONG POOL WORKBOOK -- DO NOT USE THIS WORKBOOK OR CHANGE POOL ON PROJECT DETAILS TAB</v>
      </c>
      <c r="B4" s="1371"/>
      <c r="C4" s="1371"/>
      <c r="D4" s="1371"/>
      <c r="E4" s="1371"/>
      <c r="F4" s="1371"/>
    </row>
    <row r="5" spans="1:14" ht="15" x14ac:dyDescent="0.25">
      <c r="B5" s="37" t="s">
        <v>3556</v>
      </c>
      <c r="C5" s="1366" t="s">
        <v>5190</v>
      </c>
      <c r="D5" s="1366"/>
      <c r="G5" s="752"/>
      <c r="H5" s="92"/>
    </row>
    <row r="6" spans="1:14" ht="15" x14ac:dyDescent="0.25">
      <c r="B6" s="37" t="s">
        <v>3110</v>
      </c>
      <c r="C6" s="952">
        <f>'Project Details'!C27</f>
        <v>0</v>
      </c>
      <c r="D6" s="951"/>
      <c r="G6" s="752"/>
      <c r="H6" s="92"/>
    </row>
    <row r="7" spans="1:14" x14ac:dyDescent="0.2">
      <c r="B7" s="37" t="s">
        <v>3903</v>
      </c>
      <c r="C7" s="836">
        <v>1250000</v>
      </c>
      <c r="G7" s="752"/>
    </row>
    <row r="8" spans="1:14" x14ac:dyDescent="0.2">
      <c r="B8" s="37" t="s">
        <v>3897</v>
      </c>
      <c r="C8" s="837">
        <f>'Housing Credits'!C43</f>
        <v>0</v>
      </c>
      <c r="D8" s="97" t="str">
        <f>IF(C8&gt;C7,"Credits Exceed Allowable Cap","")</f>
        <v/>
      </c>
      <c r="E8" s="37"/>
      <c r="G8" s="752"/>
    </row>
    <row r="9" spans="1:14" x14ac:dyDescent="0.2">
      <c r="B9" s="37" t="s">
        <v>3575</v>
      </c>
      <c r="C9" s="1379" t="str">
        <f>IF('Project Details'!C23="","[None Selected]",'Project Details'!C23)</f>
        <v>[None Selected]</v>
      </c>
      <c r="D9" s="1379"/>
      <c r="E9" s="37"/>
      <c r="G9" s="752"/>
    </row>
    <row r="10" spans="1:14" x14ac:dyDescent="0.2">
      <c r="B10" s="147"/>
      <c r="C10" s="148">
        <f>'Project Details'!C22</f>
        <v>0</v>
      </c>
      <c r="I10" s="103"/>
    </row>
    <row r="11" spans="1:14" ht="24.95" customHeight="1" x14ac:dyDescent="0.25">
      <c r="A11" s="767" t="s">
        <v>4865</v>
      </c>
      <c r="B11" s="768"/>
      <c r="C11" s="769"/>
      <c r="D11" s="769"/>
      <c r="E11" s="769"/>
      <c r="F11" s="769"/>
      <c r="I11" s="103"/>
    </row>
    <row r="12" spans="1:14" ht="15" x14ac:dyDescent="0.25">
      <c r="A12" s="770"/>
      <c r="B12" s="1374" t="s">
        <v>4870</v>
      </c>
      <c r="C12" s="1374"/>
      <c r="D12" s="1374"/>
      <c r="E12" s="1374"/>
      <c r="F12" s="1374"/>
      <c r="I12" s="103"/>
    </row>
    <row r="13" spans="1:14" x14ac:dyDescent="0.2">
      <c r="A13"/>
      <c r="B13" s="773" t="s">
        <v>4866</v>
      </c>
      <c r="C13" s="771">
        <f>'Project Details'!C26</f>
        <v>0</v>
      </c>
      <c r="D13" s="1381" t="str">
        <f>IF(C13="Preserved Affordability","INELIGIBLE FOR POOL","")</f>
        <v/>
      </c>
      <c r="E13" s="1381"/>
      <c r="F13" s="1381"/>
      <c r="I13" s="103"/>
    </row>
    <row r="14" spans="1:14" ht="15" x14ac:dyDescent="0.25">
      <c r="A14" s="770"/>
      <c r="B14" s="1376" t="s">
        <v>5280</v>
      </c>
      <c r="C14" s="1377"/>
      <c r="D14" s="1377"/>
      <c r="E14" s="1377"/>
      <c r="F14" s="1378"/>
      <c r="I14" s="103"/>
    </row>
    <row r="15" spans="1:14" x14ac:dyDescent="0.2">
      <c r="A15"/>
      <c r="B15" s="773" t="s">
        <v>5174</v>
      </c>
      <c r="C15" s="771">
        <f>'Project Details'!C14</f>
        <v>0</v>
      </c>
      <c r="D15" s="785" t="str">
        <f>IF(C15="Non-Urban","INELIGIBLE FOR POOL","")</f>
        <v/>
      </c>
      <c r="I15" s="103"/>
    </row>
    <row r="16" spans="1:14" ht="15" x14ac:dyDescent="0.25">
      <c r="A16" s="770"/>
      <c r="B16" s="1375" t="s">
        <v>5194</v>
      </c>
      <c r="C16" s="1375"/>
      <c r="D16" s="1375"/>
      <c r="E16" s="1375"/>
      <c r="F16" s="1375"/>
      <c r="I16" s="103"/>
    </row>
    <row r="17" spans="1:18" x14ac:dyDescent="0.2">
      <c r="B17" s="37" t="s">
        <v>3690</v>
      </c>
      <c r="C17" s="774">
        <f>'Project Details'!C31</f>
        <v>0</v>
      </c>
      <c r="D17" s="1380" t="str">
        <f>IF(OR(C17="Low",C17="Very Low"),"INELIGIBLE FOR POOL","")</f>
        <v/>
      </c>
      <c r="E17" s="1380"/>
      <c r="F17" s="1380"/>
      <c r="I17" s="103"/>
    </row>
    <row r="18" spans="1:18" x14ac:dyDescent="0.2">
      <c r="B18" s="37" t="s">
        <v>5195</v>
      </c>
      <c r="C18" s="953">
        <f>'Project Details'!C234</f>
        <v>0</v>
      </c>
      <c r="D18" s="1380" t="str">
        <f>IF(OR(AND(C17="Moderate",C18="Slight Decline"),AND(C17="Moderate",C18="Strong Decline")),"INELIGIBLE FOR POOL","")</f>
        <v/>
      </c>
      <c r="E18" s="1380"/>
      <c r="F18" s="1380"/>
      <c r="I18" s="103"/>
    </row>
    <row r="19" spans="1:18" x14ac:dyDescent="0.2">
      <c r="B19" s="37" t="s">
        <v>5196</v>
      </c>
      <c r="C19" s="954">
        <f>'Project Details'!C40</f>
        <v>0</v>
      </c>
      <c r="D19" s="955"/>
      <c r="E19" s="955"/>
      <c r="F19" s="955"/>
      <c r="I19" s="103"/>
    </row>
    <row r="20" spans="1:18" ht="15" thickBot="1" x14ac:dyDescent="0.25">
      <c r="B20" s="147"/>
      <c r="C20" s="148"/>
      <c r="I20" s="100" t="str">
        <f>IF(H21&lt;&gt;F22,"Doesn't Match Self-Score","")</f>
        <v/>
      </c>
    </row>
    <row r="21" spans="1:18" ht="18.75" thickBot="1" x14ac:dyDescent="0.3">
      <c r="A21" s="474" t="s">
        <v>5209</v>
      </c>
      <c r="B21" s="486"/>
      <c r="C21" s="487"/>
      <c r="D21" s="487"/>
      <c r="E21" s="487"/>
      <c r="F21" s="488"/>
      <c r="H21" s="128">
        <f>IF(H23+H28+H34+H39&gt;=10,10,0)</f>
        <v>0</v>
      </c>
      <c r="I21" s="1350" t="s">
        <v>5263</v>
      </c>
      <c r="J21" s="1351"/>
      <c r="K21" s="1351"/>
      <c r="L21" s="1351"/>
      <c r="M21" s="1351"/>
      <c r="N21" s="1352"/>
    </row>
    <row r="22" spans="1:18" ht="14.25" customHeight="1" x14ac:dyDescent="0.25">
      <c r="A22" s="1367" t="s">
        <v>3893</v>
      </c>
      <c r="B22" s="1368"/>
      <c r="C22" s="1368"/>
      <c r="D22" s="489"/>
      <c r="E22" s="484" t="s">
        <v>3949</v>
      </c>
      <c r="F22" s="485">
        <f>IF(A23+A28+A34+A39&gt;=10,10,0)</f>
        <v>0</v>
      </c>
      <c r="H22" s="9" t="s">
        <v>4910</v>
      </c>
      <c r="I22" s="1353"/>
      <c r="J22" s="1354"/>
      <c r="K22" s="1354"/>
      <c r="L22" s="1354"/>
      <c r="M22" s="1354"/>
      <c r="N22" s="1355"/>
      <c r="O22" s="194"/>
      <c r="P22" s="194"/>
      <c r="Q22" s="194"/>
      <c r="R22" s="194"/>
    </row>
    <row r="23" spans="1:18" ht="14.25" customHeight="1" x14ac:dyDescent="0.25">
      <c r="A23" s="260"/>
      <c r="B23" s="120" t="s">
        <v>5205</v>
      </c>
      <c r="C23" s="121"/>
      <c r="D23" s="127"/>
      <c r="E23" s="122"/>
      <c r="F23" s="123"/>
      <c r="H23" s="262"/>
      <c r="I23" s="1356"/>
      <c r="J23" s="1357"/>
      <c r="K23" s="1357"/>
      <c r="L23" s="1357"/>
      <c r="M23" s="1357"/>
      <c r="N23" s="1358"/>
      <c r="O23" s="194"/>
      <c r="P23" s="194"/>
      <c r="Q23" s="194"/>
      <c r="R23" s="194"/>
    </row>
    <row r="24" spans="1:18" ht="27" customHeight="1" x14ac:dyDescent="0.25">
      <c r="A24" s="261"/>
      <c r="B24" s="490" t="s">
        <v>3948</v>
      </c>
      <c r="C24" s="1372" t="s">
        <v>5199</v>
      </c>
      <c r="D24" s="1372"/>
      <c r="E24" s="1372"/>
      <c r="F24" s="1373"/>
      <c r="H24" s="26"/>
      <c r="I24" s="1356"/>
      <c r="J24" s="1357"/>
      <c r="K24" s="1357"/>
      <c r="L24" s="1357"/>
      <c r="M24" s="1357"/>
      <c r="N24" s="1358"/>
      <c r="O24" s="194"/>
      <c r="P24" s="194"/>
      <c r="Q24" s="194"/>
      <c r="R24" s="194"/>
    </row>
    <row r="25" spans="1:18" ht="15" x14ac:dyDescent="0.25">
      <c r="A25" s="261"/>
      <c r="B25" s="37" t="s">
        <v>4406</v>
      </c>
      <c r="C25" s="263"/>
      <c r="D25" s="370" t="s">
        <v>4405</v>
      </c>
      <c r="E25" s="263"/>
      <c r="H25" s="26"/>
      <c r="I25" s="1356"/>
      <c r="J25" s="1357"/>
      <c r="K25" s="1357"/>
      <c r="L25" s="1357"/>
      <c r="M25" s="1357"/>
      <c r="N25" s="1358"/>
      <c r="O25" s="194"/>
      <c r="P25" s="194"/>
      <c r="Q25" s="194"/>
      <c r="R25" s="194"/>
    </row>
    <row r="26" spans="1:18" ht="15" x14ac:dyDescent="0.25">
      <c r="A26" s="261"/>
      <c r="B26" s="37" t="s">
        <v>3951</v>
      </c>
      <c r="C26" s="129" t="str">
        <f>IFERROR(VLOOKUP(C25,Data!$J$86:$K$89,2,FALSE),"")</f>
        <v/>
      </c>
      <c r="D26" s="103" t="str">
        <f>IF(C26&lt;0.25,"Insufficient Ownership","")</f>
        <v/>
      </c>
      <c r="E26" s="26"/>
      <c r="H26" s="26"/>
      <c r="I26" s="1356"/>
      <c r="J26" s="1357"/>
      <c r="K26" s="1357"/>
      <c r="L26" s="1357"/>
      <c r="M26" s="1357"/>
      <c r="N26" s="1358"/>
      <c r="O26" s="194"/>
      <c r="P26" s="194"/>
      <c r="Q26" s="194"/>
      <c r="R26" s="194"/>
    </row>
    <row r="27" spans="1:18" ht="14.25" customHeight="1" x14ac:dyDescent="0.25">
      <c r="A27" s="261"/>
      <c r="B27" s="5"/>
      <c r="D27" s="26"/>
      <c r="E27" s="26"/>
      <c r="H27" s="9" t="s">
        <v>4299</v>
      </c>
      <c r="I27" s="1356"/>
      <c r="J27" s="1357"/>
      <c r="K27" s="1357"/>
      <c r="L27" s="1357"/>
      <c r="M27" s="1357"/>
      <c r="N27" s="1358"/>
      <c r="O27" s="194"/>
      <c r="P27" s="194"/>
      <c r="Q27" s="194"/>
      <c r="R27" s="194"/>
    </row>
    <row r="28" spans="1:18" ht="14.25" customHeight="1" x14ac:dyDescent="0.25">
      <c r="A28" s="262"/>
      <c r="B28" s="111" t="s">
        <v>5206</v>
      </c>
      <c r="C28" s="112"/>
      <c r="D28" s="113"/>
      <c r="E28" s="114"/>
      <c r="F28" s="115"/>
      <c r="H28" s="262"/>
      <c r="I28" s="1356"/>
      <c r="J28" s="1357"/>
      <c r="K28" s="1357"/>
      <c r="L28" s="1357"/>
      <c r="M28" s="1357"/>
      <c r="N28" s="1358"/>
      <c r="O28" s="194"/>
      <c r="P28" s="194"/>
      <c r="Q28" s="194"/>
      <c r="R28" s="194"/>
    </row>
    <row r="29" spans="1:18" ht="29.25" customHeight="1" x14ac:dyDescent="0.25">
      <c r="A29" s="261"/>
      <c r="B29" s="490" t="s">
        <v>3948</v>
      </c>
      <c r="C29" s="1372" t="s">
        <v>5906</v>
      </c>
      <c r="D29" s="1372"/>
      <c r="E29" s="1372"/>
      <c r="F29" s="1373"/>
      <c r="H29" s="26"/>
      <c r="I29" s="1356"/>
      <c r="J29" s="1357"/>
      <c r="K29" s="1357"/>
      <c r="L29" s="1357"/>
      <c r="M29" s="1357"/>
      <c r="N29" s="1358"/>
      <c r="O29" s="194"/>
      <c r="P29" s="194"/>
      <c r="Q29" s="194"/>
      <c r="R29" s="194"/>
    </row>
    <row r="30" spans="1:18" ht="15" x14ac:dyDescent="0.25">
      <c r="A30" s="261"/>
      <c r="B30" s="37" t="s">
        <v>3952</v>
      </c>
      <c r="C30" s="263"/>
      <c r="D30" s="26"/>
      <c r="E30" s="26"/>
      <c r="H30" s="26"/>
      <c r="I30" s="1356"/>
      <c r="J30" s="1357"/>
      <c r="K30" s="1357"/>
      <c r="L30" s="1357"/>
      <c r="M30" s="1357"/>
      <c r="N30" s="1358"/>
      <c r="O30" s="194"/>
      <c r="P30" s="194"/>
      <c r="Q30" s="194"/>
      <c r="R30" s="194"/>
    </row>
    <row r="31" spans="1:18" ht="15" x14ac:dyDescent="0.25">
      <c r="A31" s="261"/>
      <c r="B31" s="37" t="s">
        <v>4622</v>
      </c>
      <c r="C31" s="263"/>
      <c r="D31" s="26"/>
      <c r="E31" s="26"/>
      <c r="H31" s="26"/>
      <c r="I31" s="1356"/>
      <c r="J31" s="1357"/>
      <c r="K31" s="1357"/>
      <c r="L31" s="1357"/>
      <c r="M31" s="1357"/>
      <c r="N31" s="1358"/>
      <c r="O31" s="194"/>
      <c r="P31" s="194"/>
      <c r="Q31" s="194"/>
      <c r="R31" s="194"/>
    </row>
    <row r="32" spans="1:18" ht="15" x14ac:dyDescent="0.25">
      <c r="A32" s="261"/>
      <c r="B32" s="37" t="s">
        <v>3951</v>
      </c>
      <c r="C32" s="129" t="str">
        <f>IFERROR(VLOOKUP(C30,Data!$J$86:$K$89,2,FALSE),"")</f>
        <v/>
      </c>
      <c r="D32" s="103" t="str">
        <f>IF(C32&lt;0.25,"Insufficient Ownership","")</f>
        <v/>
      </c>
      <c r="E32" s="26"/>
      <c r="H32" s="26"/>
      <c r="I32" s="1356"/>
      <c r="J32" s="1357"/>
      <c r="K32" s="1357"/>
      <c r="L32" s="1357"/>
      <c r="M32" s="1357"/>
      <c r="N32" s="1358"/>
      <c r="O32" s="194"/>
      <c r="P32" s="194"/>
      <c r="Q32" s="194"/>
      <c r="R32" s="194"/>
    </row>
    <row r="33" spans="1:18" ht="14.25" customHeight="1" x14ac:dyDescent="0.25">
      <c r="A33" s="261"/>
      <c r="B33" s="5"/>
      <c r="D33" s="26"/>
      <c r="E33" s="26"/>
      <c r="H33" s="9" t="s">
        <v>3918</v>
      </c>
      <c r="I33" s="1356"/>
      <c r="J33" s="1357"/>
      <c r="K33" s="1357"/>
      <c r="L33" s="1357"/>
      <c r="M33" s="1357"/>
      <c r="N33" s="1358"/>
      <c r="O33" s="194"/>
      <c r="P33" s="194"/>
      <c r="Q33" s="194"/>
      <c r="R33" s="194"/>
    </row>
    <row r="34" spans="1:18" ht="14.25" customHeight="1" x14ac:dyDescent="0.25">
      <c r="A34" s="262"/>
      <c r="B34" s="111" t="s">
        <v>5207</v>
      </c>
      <c r="C34" s="112"/>
      <c r="D34" s="113"/>
      <c r="E34" s="114"/>
      <c r="F34" s="115"/>
      <c r="H34" s="262"/>
      <c r="I34" s="1356"/>
      <c r="J34" s="1357"/>
      <c r="K34" s="1357"/>
      <c r="L34" s="1357"/>
      <c r="M34" s="1357"/>
      <c r="N34" s="1358"/>
      <c r="O34" s="194"/>
      <c r="P34" s="194"/>
      <c r="Q34" s="194"/>
      <c r="R34" s="194"/>
    </row>
    <row r="35" spans="1:18" ht="30.75" customHeight="1" x14ac:dyDescent="0.25">
      <c r="A35" s="261"/>
      <c r="B35" s="490" t="s">
        <v>3948</v>
      </c>
      <c r="C35" s="1372" t="s">
        <v>5905</v>
      </c>
      <c r="D35" s="1372"/>
      <c r="E35" s="1372"/>
      <c r="F35" s="1373"/>
      <c r="H35" s="26"/>
      <c r="I35" s="1356"/>
      <c r="J35" s="1357"/>
      <c r="K35" s="1357"/>
      <c r="L35" s="1357"/>
      <c r="M35" s="1357"/>
      <c r="N35" s="1358"/>
      <c r="O35" s="194"/>
      <c r="P35" s="194"/>
      <c r="Q35" s="194"/>
      <c r="R35" s="194"/>
    </row>
    <row r="36" spans="1:18" ht="15" x14ac:dyDescent="0.25">
      <c r="A36" s="261"/>
      <c r="B36" s="37" t="s">
        <v>3953</v>
      </c>
      <c r="C36" s="263"/>
      <c r="D36" s="26"/>
      <c r="E36" s="26"/>
      <c r="H36" s="26"/>
      <c r="I36" s="1356"/>
      <c r="J36" s="1357"/>
      <c r="K36" s="1357"/>
      <c r="L36" s="1357"/>
      <c r="M36" s="1357"/>
      <c r="N36" s="1358"/>
      <c r="O36" s="194"/>
      <c r="P36" s="194"/>
      <c r="Q36" s="194"/>
      <c r="R36" s="194"/>
    </row>
    <row r="37" spans="1:18" ht="15" x14ac:dyDescent="0.25">
      <c r="A37" s="261"/>
      <c r="B37" s="37" t="s">
        <v>4623</v>
      </c>
      <c r="C37" s="670"/>
      <c r="D37" s="103"/>
      <c r="E37" s="26"/>
      <c r="H37" s="26"/>
      <c r="I37" s="1356"/>
      <c r="J37" s="1357"/>
      <c r="K37" s="1357"/>
      <c r="L37" s="1357"/>
      <c r="M37" s="1357"/>
      <c r="N37" s="1358"/>
      <c r="O37" s="194"/>
      <c r="P37" s="194"/>
      <c r="Q37" s="194"/>
      <c r="R37" s="194"/>
    </row>
    <row r="38" spans="1:18" ht="14.25" customHeight="1" x14ac:dyDescent="0.25">
      <c r="A38" s="261"/>
      <c r="B38" s="5"/>
      <c r="D38" s="103"/>
      <c r="E38" s="26"/>
      <c r="H38" s="9" t="s">
        <v>4301</v>
      </c>
      <c r="I38" s="1356"/>
      <c r="J38" s="1357"/>
      <c r="K38" s="1357"/>
      <c r="L38" s="1357"/>
      <c r="M38" s="1357"/>
      <c r="N38" s="1358"/>
      <c r="O38" s="194"/>
      <c r="P38" s="194"/>
      <c r="Q38" s="194"/>
      <c r="R38" s="194"/>
    </row>
    <row r="39" spans="1:18" ht="14.25" customHeight="1" x14ac:dyDescent="0.25">
      <c r="A39" s="262"/>
      <c r="B39" s="111" t="s">
        <v>5208</v>
      </c>
      <c r="C39" s="112"/>
      <c r="D39" s="113"/>
      <c r="E39" s="114"/>
      <c r="F39" s="115"/>
      <c r="H39" s="262"/>
      <c r="I39" s="1356"/>
      <c r="J39" s="1357"/>
      <c r="K39" s="1357"/>
      <c r="L39" s="1357"/>
      <c r="M39" s="1357"/>
      <c r="N39" s="1358"/>
      <c r="O39" s="194"/>
      <c r="P39" s="194"/>
      <c r="Q39" s="194"/>
      <c r="R39" s="194"/>
    </row>
    <row r="40" spans="1:18" ht="14.25" customHeight="1" x14ac:dyDescent="0.25">
      <c r="A40" s="261"/>
      <c r="B40" s="491" t="s">
        <v>3948</v>
      </c>
      <c r="C40" s="117" t="s">
        <v>5201</v>
      </c>
      <c r="D40" s="118"/>
      <c r="E40" s="118"/>
      <c r="F40" s="119"/>
      <c r="H40" s="26"/>
      <c r="I40" s="1356"/>
      <c r="J40" s="1357"/>
      <c r="K40" s="1357"/>
      <c r="L40" s="1357"/>
      <c r="M40" s="1357"/>
      <c r="N40" s="1358"/>
      <c r="O40" s="194"/>
      <c r="P40" s="194"/>
      <c r="Q40" s="194"/>
      <c r="R40" s="194"/>
    </row>
    <row r="41" spans="1:18" ht="15.75" thickBot="1" x14ac:dyDescent="0.3">
      <c r="A41" s="261"/>
      <c r="B41" s="37" t="s">
        <v>3095</v>
      </c>
      <c r="C41" s="130">
        <f>'Development Team'!D6</f>
        <v>0</v>
      </c>
      <c r="D41" s="147"/>
      <c r="E41" s="957"/>
      <c r="H41" s="26"/>
      <c r="I41" s="1359"/>
      <c r="J41" s="1360"/>
      <c r="K41" s="1360"/>
      <c r="L41" s="1360"/>
      <c r="M41" s="1360"/>
      <c r="N41" s="1361"/>
      <c r="O41" s="194"/>
      <c r="P41" s="194"/>
      <c r="Q41" s="194"/>
      <c r="R41" s="194"/>
    </row>
    <row r="42" spans="1:18" ht="15" x14ac:dyDescent="0.25">
      <c r="A42" s="261"/>
      <c r="B42" s="37" t="s">
        <v>5203</v>
      </c>
      <c r="C42" s="1016"/>
      <c r="D42" s="147"/>
      <c r="E42" s="957"/>
      <c r="G42" s="26"/>
      <c r="H42" s="26"/>
      <c r="I42" s="26"/>
      <c r="J42" s="26"/>
      <c r="K42" s="26"/>
      <c r="L42" s="26"/>
      <c r="M42" s="26"/>
      <c r="N42" s="26"/>
      <c r="O42" s="194"/>
      <c r="P42" s="194"/>
      <c r="Q42" s="194"/>
      <c r="R42" s="194"/>
    </row>
    <row r="43" spans="1:18" ht="15" x14ac:dyDescent="0.25">
      <c r="A43" s="261"/>
      <c r="C43" s="1016"/>
      <c r="D43" s="147"/>
      <c r="E43" s="957"/>
      <c r="G43" s="26"/>
      <c r="H43" s="26"/>
      <c r="I43" s="26"/>
      <c r="J43" s="26"/>
      <c r="K43" s="26"/>
      <c r="L43" s="26"/>
      <c r="M43" s="26"/>
      <c r="N43" s="26"/>
      <c r="O43" s="194"/>
      <c r="P43" s="194"/>
      <c r="Q43" s="194"/>
      <c r="R43" s="194"/>
    </row>
    <row r="44" spans="1:18" ht="15" x14ac:dyDescent="0.25">
      <c r="A44" s="261"/>
      <c r="C44" s="1016"/>
      <c r="D44" s="147"/>
      <c r="E44" s="957"/>
      <c r="G44" s="26"/>
      <c r="H44" s="26"/>
      <c r="I44" s="26"/>
      <c r="J44" s="26"/>
      <c r="K44" s="26"/>
      <c r="L44" s="26"/>
      <c r="M44" s="26"/>
      <c r="N44" s="26"/>
      <c r="O44" s="194"/>
      <c r="P44" s="194"/>
      <c r="Q44" s="194"/>
      <c r="R44" s="194"/>
    </row>
    <row r="45" spans="1:18" ht="15" x14ac:dyDescent="0.25">
      <c r="A45" s="261"/>
      <c r="C45" s="1016"/>
      <c r="D45" s="147"/>
      <c r="E45" s="957"/>
      <c r="G45" s="26"/>
      <c r="H45" s="26"/>
      <c r="I45" s="26"/>
      <c r="J45" s="26"/>
      <c r="K45" s="26"/>
      <c r="L45" s="26"/>
      <c r="M45" s="26"/>
      <c r="N45" s="26"/>
      <c r="O45" s="194"/>
      <c r="P45" s="194"/>
      <c r="Q45" s="194"/>
      <c r="R45" s="194"/>
    </row>
    <row r="46" spans="1:18" ht="15" x14ac:dyDescent="0.25">
      <c r="A46" s="261"/>
      <c r="C46" s="1016"/>
      <c r="D46" s="147"/>
      <c r="E46" s="957"/>
      <c r="G46" s="26"/>
      <c r="H46" s="26"/>
      <c r="I46" s="26"/>
      <c r="J46" s="26"/>
      <c r="K46" s="26"/>
      <c r="L46" s="26"/>
      <c r="M46" s="26"/>
      <c r="N46" s="26"/>
      <c r="O46" s="194"/>
      <c r="P46" s="194"/>
      <c r="Q46" s="194"/>
      <c r="R46" s="194"/>
    </row>
    <row r="47" spans="1:18" ht="14.25" customHeight="1" thickBot="1" x14ac:dyDescent="0.3">
      <c r="A47" s="261"/>
      <c r="B47" s="5"/>
      <c r="D47" s="26"/>
      <c r="E47" s="26"/>
      <c r="G47" s="26"/>
      <c r="H47" s="26"/>
      <c r="I47" s="100" t="str">
        <f>IF(F49&lt;&gt;H48, "Doesn't Match Self-Score","")</f>
        <v/>
      </c>
      <c r="J47" s="26"/>
      <c r="K47" s="26"/>
      <c r="L47" s="26"/>
      <c r="M47" s="26"/>
      <c r="N47" s="26"/>
      <c r="O47" s="194"/>
      <c r="P47" s="194"/>
      <c r="Q47" s="194"/>
      <c r="R47" s="194"/>
    </row>
    <row r="48" spans="1:18" ht="24.95" customHeight="1" thickBot="1" x14ac:dyDescent="0.3">
      <c r="A48" s="474" t="s">
        <v>5210</v>
      </c>
      <c r="B48" s="479"/>
      <c r="C48" s="480"/>
      <c r="D48" s="106"/>
      <c r="E48" s="106"/>
      <c r="F48" s="107"/>
      <c r="H48" s="128">
        <f>MAX(H50,H61)</f>
        <v>0</v>
      </c>
      <c r="I48" s="1350" t="s">
        <v>4913</v>
      </c>
      <c r="J48" s="1351"/>
      <c r="K48" s="1351"/>
      <c r="L48" s="1351"/>
      <c r="M48" s="1351"/>
      <c r="N48" s="1352"/>
      <c r="O48" s="194"/>
      <c r="P48" s="194"/>
      <c r="Q48" s="194"/>
      <c r="R48" s="194"/>
    </row>
    <row r="49" spans="1:18" ht="14.25" customHeight="1" x14ac:dyDescent="0.25">
      <c r="A49" s="1367" t="s">
        <v>4620</v>
      </c>
      <c r="B49" s="1368"/>
      <c r="C49" s="1368"/>
      <c r="D49" s="110"/>
      <c r="E49" s="475" t="s">
        <v>3949</v>
      </c>
      <c r="F49" s="476">
        <f>MAX(A50,A61)</f>
        <v>0</v>
      </c>
      <c r="H49" s="9" t="s">
        <v>4911</v>
      </c>
      <c r="I49" s="1353"/>
      <c r="J49" s="1354"/>
      <c r="K49" s="1354"/>
      <c r="L49" s="1354"/>
      <c r="M49" s="1354"/>
      <c r="N49" s="1355"/>
      <c r="O49" s="194"/>
      <c r="P49" s="194"/>
      <c r="Q49" s="194"/>
      <c r="R49" s="194"/>
    </row>
    <row r="50" spans="1:18" ht="14.25" customHeight="1" x14ac:dyDescent="0.25">
      <c r="A50" s="824">
        <f>C53</f>
        <v>0</v>
      </c>
      <c r="B50" s="124" t="s">
        <v>5211</v>
      </c>
      <c r="C50" s="125"/>
      <c r="D50" s="114"/>
      <c r="E50" s="114"/>
      <c r="F50" s="115"/>
      <c r="H50" s="262"/>
      <c r="I50" s="1356"/>
      <c r="J50" s="1357"/>
      <c r="K50" s="1357"/>
      <c r="L50" s="1357"/>
      <c r="M50" s="1357"/>
      <c r="N50" s="1358"/>
      <c r="O50" s="194"/>
      <c r="P50" s="194"/>
      <c r="Q50" s="194"/>
      <c r="R50" s="194"/>
    </row>
    <row r="51" spans="1:18" ht="14.25" customHeight="1" x14ac:dyDescent="0.25">
      <c r="A51" s="261"/>
      <c r="B51" s="491" t="s">
        <v>3948</v>
      </c>
      <c r="C51" s="117" t="s">
        <v>4462</v>
      </c>
      <c r="D51" s="118"/>
      <c r="E51" s="118"/>
      <c r="F51" s="119"/>
      <c r="H51" s="26"/>
      <c r="I51" s="1356"/>
      <c r="J51" s="1357"/>
      <c r="K51" s="1357"/>
      <c r="L51" s="1357"/>
      <c r="M51" s="1357"/>
      <c r="N51" s="1358"/>
      <c r="O51" s="194"/>
      <c r="P51" s="194"/>
      <c r="Q51" s="194"/>
      <c r="R51" s="194"/>
    </row>
    <row r="52" spans="1:18" ht="14.25" customHeight="1" x14ac:dyDescent="0.25">
      <c r="A52" s="261"/>
      <c r="B52" s="37" t="s">
        <v>5004</v>
      </c>
      <c r="C52" s="782"/>
      <c r="D52" s="26"/>
      <c r="E52" s="26"/>
      <c r="H52" s="26"/>
      <c r="I52" s="1356"/>
      <c r="J52" s="1357"/>
      <c r="K52" s="1357"/>
      <c r="L52" s="1357"/>
      <c r="M52" s="1357"/>
      <c r="N52" s="1358"/>
      <c r="O52" s="194"/>
      <c r="P52" s="194"/>
      <c r="Q52" s="194"/>
      <c r="R52" s="194"/>
    </row>
    <row r="53" spans="1:18" ht="14.25" customHeight="1" x14ac:dyDescent="0.25">
      <c r="A53" s="261"/>
      <c r="B53" s="37" t="s">
        <v>4656</v>
      </c>
      <c r="C53" s="775">
        <f>IF(C52="Onsite fitness area",5,IF(C52="Facility partnership",5,IF(C52="Onsite health/wellness clinic",5,0)))</f>
        <v>0</v>
      </c>
      <c r="D53" s="26"/>
      <c r="E53" s="26"/>
      <c r="H53" s="26"/>
      <c r="I53" s="1356"/>
      <c r="J53" s="1357"/>
      <c r="K53" s="1357"/>
      <c r="L53" s="1357"/>
      <c r="M53" s="1357"/>
      <c r="N53" s="1358"/>
      <c r="O53" s="194"/>
      <c r="P53" s="194"/>
      <c r="Q53" s="194"/>
      <c r="R53" s="194"/>
    </row>
    <row r="54" spans="1:18" ht="14.25" customHeight="1" x14ac:dyDescent="0.25">
      <c r="A54" s="261"/>
      <c r="B54" s="5"/>
      <c r="C54" s="26"/>
      <c r="D54" s="26"/>
      <c r="E54" s="26"/>
      <c r="H54" s="26"/>
      <c r="I54" s="1356"/>
      <c r="J54" s="1357"/>
      <c r="K54" s="1357"/>
      <c r="L54" s="1357"/>
      <c r="M54" s="1357"/>
      <c r="N54" s="1358"/>
      <c r="O54" s="194"/>
      <c r="P54" s="194"/>
      <c r="Q54" s="194"/>
      <c r="R54" s="194"/>
    </row>
    <row r="55" spans="1:18" ht="32.25" customHeight="1" x14ac:dyDescent="0.2">
      <c r="A55" s="493"/>
      <c r="B55" s="494" t="s">
        <v>4463</v>
      </c>
      <c r="C55" s="1369" t="s">
        <v>4466</v>
      </c>
      <c r="D55" s="1369"/>
      <c r="E55" s="1369"/>
      <c r="F55" s="1369"/>
      <c r="H55" s="26"/>
      <c r="I55" s="1356"/>
      <c r="J55" s="1357"/>
      <c r="K55" s="1357"/>
      <c r="L55" s="1357"/>
      <c r="M55" s="1357"/>
      <c r="N55" s="1358"/>
      <c r="O55" s="194"/>
      <c r="P55" s="194"/>
      <c r="Q55" s="194"/>
      <c r="R55" s="194"/>
    </row>
    <row r="56" spans="1:18" ht="14.25" customHeight="1" x14ac:dyDescent="0.2">
      <c r="A56" s="493"/>
      <c r="B56" s="5"/>
      <c r="C56" s="26"/>
      <c r="D56" s="26"/>
      <c r="E56" s="26"/>
      <c r="H56" s="26"/>
      <c r="I56" s="1356"/>
      <c r="J56" s="1357"/>
      <c r="K56" s="1357"/>
      <c r="L56" s="1357"/>
      <c r="M56" s="1357"/>
      <c r="N56" s="1358"/>
      <c r="O56" s="194"/>
      <c r="P56" s="194"/>
      <c r="Q56" s="194"/>
      <c r="R56" s="194"/>
    </row>
    <row r="57" spans="1:18" ht="45" customHeight="1" x14ac:dyDescent="0.2">
      <c r="A57" s="493"/>
      <c r="B57" s="494" t="s">
        <v>4464</v>
      </c>
      <c r="C57" s="1369" t="s">
        <v>4467</v>
      </c>
      <c r="D57" s="1369"/>
      <c r="E57" s="1369"/>
      <c r="F57" s="1369"/>
      <c r="H57" s="26"/>
      <c r="I57" s="1356"/>
      <c r="J57" s="1357"/>
      <c r="K57" s="1357"/>
      <c r="L57" s="1357"/>
      <c r="M57" s="1357"/>
      <c r="N57" s="1358"/>
      <c r="O57" s="194"/>
      <c r="P57" s="194"/>
      <c r="Q57" s="194"/>
      <c r="R57" s="194"/>
    </row>
    <row r="58" spans="1:18" ht="14.25" customHeight="1" x14ac:dyDescent="0.2">
      <c r="A58" s="493"/>
      <c r="B58" s="5"/>
      <c r="C58" s="26"/>
      <c r="D58" s="26"/>
      <c r="E58" s="26"/>
      <c r="H58" s="26"/>
      <c r="I58" s="1356"/>
      <c r="J58" s="1357"/>
      <c r="K58" s="1357"/>
      <c r="L58" s="1357"/>
      <c r="M58" s="1357"/>
      <c r="N58" s="1358"/>
      <c r="O58" s="194"/>
      <c r="P58" s="194"/>
      <c r="Q58" s="194"/>
      <c r="R58" s="194"/>
    </row>
    <row r="59" spans="1:18" ht="45.75" customHeight="1" x14ac:dyDescent="0.2">
      <c r="A59" s="493"/>
      <c r="B59" s="494" t="s">
        <v>4465</v>
      </c>
      <c r="C59" s="1369" t="s">
        <v>4468</v>
      </c>
      <c r="D59" s="1369"/>
      <c r="E59" s="1369"/>
      <c r="F59" s="1369"/>
      <c r="H59" s="26"/>
      <c r="I59" s="1356"/>
      <c r="J59" s="1357"/>
      <c r="K59" s="1357"/>
      <c r="L59" s="1357"/>
      <c r="M59" s="1357"/>
      <c r="N59" s="1358"/>
      <c r="O59" s="194"/>
      <c r="P59" s="194"/>
      <c r="Q59" s="194"/>
      <c r="R59" s="194"/>
    </row>
    <row r="60" spans="1:18" ht="14.25" customHeight="1" x14ac:dyDescent="0.25">
      <c r="A60" s="261"/>
      <c r="B60" s="5"/>
      <c r="C60" s="26"/>
      <c r="D60" s="26"/>
      <c r="E60" s="26"/>
      <c r="H60" s="9" t="s">
        <v>4912</v>
      </c>
      <c r="I60" s="1356"/>
      <c r="J60" s="1357"/>
      <c r="K60" s="1357"/>
      <c r="L60" s="1357"/>
      <c r="M60" s="1357"/>
      <c r="N60" s="1358"/>
      <c r="O60" s="194"/>
      <c r="P60" s="194"/>
      <c r="Q60" s="194"/>
      <c r="R60" s="194"/>
    </row>
    <row r="61" spans="1:18" ht="14.25" customHeight="1" x14ac:dyDescent="0.25">
      <c r="A61" s="824">
        <f>IF(F70&gt;5,5,F70)</f>
        <v>0</v>
      </c>
      <c r="B61" s="124" t="s">
        <v>5212</v>
      </c>
      <c r="C61" s="125"/>
      <c r="D61" s="114"/>
      <c r="E61" s="114"/>
      <c r="F61" s="115"/>
      <c r="H61" s="262"/>
      <c r="I61" s="1356"/>
      <c r="J61" s="1357"/>
      <c r="K61" s="1357"/>
      <c r="L61" s="1357"/>
      <c r="M61" s="1357"/>
      <c r="N61" s="1358"/>
      <c r="O61" s="194"/>
      <c r="P61" s="194"/>
      <c r="Q61" s="194"/>
      <c r="R61" s="194"/>
    </row>
    <row r="62" spans="1:18" ht="28.5" customHeight="1" x14ac:dyDescent="0.25">
      <c r="A62" s="261"/>
      <c r="B62" s="490" t="s">
        <v>3948</v>
      </c>
      <c r="C62" s="1260" t="s">
        <v>4443</v>
      </c>
      <c r="D62" s="1260"/>
      <c r="E62" s="1260"/>
      <c r="F62" s="1261"/>
      <c r="H62" s="26"/>
      <c r="I62" s="1356"/>
      <c r="J62" s="1357"/>
      <c r="K62" s="1357"/>
      <c r="L62" s="1357"/>
      <c r="M62" s="1357"/>
      <c r="N62" s="1358"/>
      <c r="O62" s="194"/>
      <c r="P62" s="194"/>
      <c r="Q62" s="194"/>
      <c r="R62" s="194"/>
    </row>
    <row r="63" spans="1:18" ht="15" x14ac:dyDescent="0.25">
      <c r="A63" s="261"/>
      <c r="B63" s="501" t="s">
        <v>4476</v>
      </c>
      <c r="C63" s="1370" t="s">
        <v>4469</v>
      </c>
      <c r="D63" s="1370"/>
      <c r="E63" s="263"/>
      <c r="F63" s="775">
        <f>IF(E63="Yes", 1, 0)</f>
        <v>0</v>
      </c>
      <c r="H63" s="26"/>
      <c r="I63" s="1356"/>
      <c r="J63" s="1357"/>
      <c r="K63" s="1357"/>
      <c r="L63" s="1357"/>
      <c r="M63" s="1357"/>
      <c r="N63" s="1358"/>
      <c r="O63" s="194"/>
      <c r="P63" s="194"/>
      <c r="Q63" s="194"/>
      <c r="R63" s="194"/>
    </row>
    <row r="64" spans="1:18" ht="14.25" customHeight="1" x14ac:dyDescent="0.2">
      <c r="A64" s="493"/>
      <c r="B64" s="5"/>
      <c r="C64" s="1370" t="s">
        <v>4470</v>
      </c>
      <c r="D64" s="1370"/>
      <c r="E64" s="263"/>
      <c r="F64" s="775">
        <f>IF(E64="Yes", 2, 0)</f>
        <v>0</v>
      </c>
      <c r="H64" s="26"/>
      <c r="I64" s="1356"/>
      <c r="J64" s="1357"/>
      <c r="K64" s="1357"/>
      <c r="L64" s="1357"/>
      <c r="M64" s="1357"/>
      <c r="N64" s="1358"/>
      <c r="O64" s="194"/>
      <c r="P64" s="194"/>
      <c r="Q64" s="194"/>
      <c r="R64" s="194"/>
    </row>
    <row r="65" spans="1:18" ht="14.25" customHeight="1" x14ac:dyDescent="0.2">
      <c r="A65" s="493"/>
      <c r="B65" s="101"/>
      <c r="C65" s="1370" t="s">
        <v>4471</v>
      </c>
      <c r="D65" s="1370"/>
      <c r="E65" s="263"/>
      <c r="F65" s="775">
        <f>IF(E65="Yes", 2, 0)</f>
        <v>0</v>
      </c>
      <c r="H65" s="26"/>
      <c r="I65" s="1356"/>
      <c r="J65" s="1357"/>
      <c r="K65" s="1357"/>
      <c r="L65" s="1357"/>
      <c r="M65" s="1357"/>
      <c r="N65" s="1358"/>
      <c r="O65" s="194"/>
      <c r="P65" s="194"/>
      <c r="Q65" s="194"/>
      <c r="R65" s="194"/>
    </row>
    <row r="66" spans="1:18" ht="14.25" customHeight="1" x14ac:dyDescent="0.2">
      <c r="A66" s="493"/>
      <c r="B66" s="5"/>
      <c r="C66" s="1370" t="s">
        <v>4472</v>
      </c>
      <c r="D66" s="1370"/>
      <c r="E66" s="263"/>
      <c r="F66" s="775">
        <f>IF(E66="Yes", 2, 0)</f>
        <v>0</v>
      </c>
      <c r="H66" s="26"/>
      <c r="I66" s="1356"/>
      <c r="J66" s="1357"/>
      <c r="K66" s="1357"/>
      <c r="L66" s="1357"/>
      <c r="M66" s="1357"/>
      <c r="N66" s="1358"/>
      <c r="O66" s="194"/>
      <c r="P66" s="194"/>
      <c r="Q66" s="194"/>
      <c r="R66" s="194"/>
    </row>
    <row r="67" spans="1:18" ht="14.25" customHeight="1" x14ac:dyDescent="0.2">
      <c r="A67" s="493"/>
      <c r="B67" s="101"/>
      <c r="C67" s="1370" t="s">
        <v>4473</v>
      </c>
      <c r="D67" s="1370"/>
      <c r="E67" s="263"/>
      <c r="F67" s="775">
        <f>IF(E67="Yes", 5, 0)</f>
        <v>0</v>
      </c>
      <c r="H67" s="26"/>
      <c r="I67" s="1356"/>
      <c r="J67" s="1357"/>
      <c r="K67" s="1357"/>
      <c r="L67" s="1357"/>
      <c r="M67" s="1357"/>
      <c r="N67" s="1358"/>
      <c r="O67" s="194"/>
      <c r="P67" s="194"/>
      <c r="Q67" s="194"/>
      <c r="R67" s="194"/>
    </row>
    <row r="68" spans="1:18" ht="14.25" customHeight="1" x14ac:dyDescent="0.2">
      <c r="A68" s="493"/>
      <c r="B68" s="101"/>
      <c r="C68" s="1370" t="s">
        <v>4474</v>
      </c>
      <c r="D68" s="1370"/>
      <c r="E68" s="263"/>
      <c r="F68" s="775">
        <f>IF(E68="Yes", 5, 0)</f>
        <v>0</v>
      </c>
      <c r="H68" s="26"/>
      <c r="I68" s="1356"/>
      <c r="J68" s="1357"/>
      <c r="K68" s="1357"/>
      <c r="L68" s="1357"/>
      <c r="M68" s="1357"/>
      <c r="N68" s="1358"/>
      <c r="O68" s="194"/>
      <c r="P68" s="194"/>
      <c r="Q68" s="194"/>
      <c r="R68" s="194"/>
    </row>
    <row r="69" spans="1:18" x14ac:dyDescent="0.2">
      <c r="A69" s="493"/>
      <c r="B69" s="101"/>
      <c r="C69" s="1370" t="s">
        <v>4475</v>
      </c>
      <c r="D69" s="1370"/>
      <c r="E69" s="263"/>
      <c r="F69" s="775">
        <f>IF(E69="Yes", 5, 0)</f>
        <v>0</v>
      </c>
      <c r="H69" s="26"/>
      <c r="I69" s="1356"/>
      <c r="J69" s="1357"/>
      <c r="K69" s="1357"/>
      <c r="L69" s="1357"/>
      <c r="M69" s="1357"/>
      <c r="N69" s="1358"/>
      <c r="O69" s="194"/>
      <c r="P69" s="194"/>
      <c r="Q69" s="194"/>
      <c r="R69" s="194"/>
    </row>
    <row r="70" spans="1:18" ht="15" thickBot="1" x14ac:dyDescent="0.25">
      <c r="A70" s="493"/>
      <c r="B70" s="101"/>
      <c r="E70" s="502" t="s">
        <v>3107</v>
      </c>
      <c r="F70" s="775">
        <f>SUM(F63:F69)</f>
        <v>0</v>
      </c>
      <c r="H70" s="26"/>
      <c r="I70" s="1359"/>
      <c r="J70" s="1360"/>
      <c r="K70" s="1360"/>
      <c r="L70" s="1360"/>
      <c r="M70" s="1360"/>
      <c r="N70" s="1361"/>
      <c r="O70" s="194"/>
      <c r="P70" s="194"/>
      <c r="Q70" s="194"/>
      <c r="R70" s="194"/>
    </row>
    <row r="71" spans="1:18" ht="14.25" customHeight="1" thickBot="1" x14ac:dyDescent="0.3">
      <c r="A71" s="261"/>
      <c r="B71" s="5"/>
      <c r="C71" s="26"/>
      <c r="D71" s="26"/>
      <c r="E71" s="26"/>
      <c r="H71" s="26"/>
      <c r="I71" s="100" t="str">
        <f>IF(H72&lt;&gt;F73,"Doesn't Match Self-Score","")</f>
        <v/>
      </c>
      <c r="J71" s="814"/>
      <c r="K71" s="814"/>
      <c r="L71" s="814"/>
      <c r="M71" s="814"/>
      <c r="N71" s="814"/>
      <c r="O71" s="194"/>
      <c r="P71" s="194"/>
      <c r="Q71" s="194"/>
      <c r="R71" s="194"/>
    </row>
    <row r="72" spans="1:18" ht="24.95" customHeight="1" thickBot="1" x14ac:dyDescent="0.3">
      <c r="A72" s="474" t="s">
        <v>5213</v>
      </c>
      <c r="B72" s="479"/>
      <c r="C72" s="480"/>
      <c r="D72" s="106"/>
      <c r="E72" s="477"/>
      <c r="F72" s="478"/>
      <c r="H72" s="128">
        <f>MAX(H74,H79,H84)</f>
        <v>0</v>
      </c>
      <c r="I72" s="1350" t="s">
        <v>4914</v>
      </c>
      <c r="J72" s="1351"/>
      <c r="K72" s="1351"/>
      <c r="L72" s="1351"/>
      <c r="M72" s="1351"/>
      <c r="N72" s="1352"/>
      <c r="O72" s="194"/>
      <c r="P72" s="194"/>
      <c r="Q72" s="194"/>
      <c r="R72" s="194"/>
    </row>
    <row r="73" spans="1:18" ht="14.25" customHeight="1" x14ac:dyDescent="0.25">
      <c r="A73" s="1367" t="s">
        <v>4621</v>
      </c>
      <c r="B73" s="1368"/>
      <c r="C73" s="1368"/>
      <c r="D73" s="110"/>
      <c r="E73" s="475" t="s">
        <v>3949</v>
      </c>
      <c r="F73" s="476">
        <f>MAX(A74,A79,A84)</f>
        <v>0</v>
      </c>
      <c r="H73" s="9" t="s">
        <v>4736</v>
      </c>
      <c r="I73" s="1353"/>
      <c r="J73" s="1354"/>
      <c r="K73" s="1354"/>
      <c r="L73" s="1354"/>
      <c r="M73" s="1354"/>
      <c r="N73" s="1355"/>
      <c r="O73" s="194"/>
      <c r="P73" s="194"/>
      <c r="Q73" s="194"/>
      <c r="R73" s="194"/>
    </row>
    <row r="74" spans="1:18" ht="14.25" customHeight="1" x14ac:dyDescent="0.25">
      <c r="A74" s="823">
        <f>C77</f>
        <v>0</v>
      </c>
      <c r="B74" s="124" t="s">
        <v>5214</v>
      </c>
      <c r="C74" s="125"/>
      <c r="D74" s="114"/>
      <c r="E74" s="114"/>
      <c r="F74" s="115"/>
      <c r="H74" s="262"/>
      <c r="I74" s="1356"/>
      <c r="J74" s="1357"/>
      <c r="K74" s="1357"/>
      <c r="L74" s="1357"/>
      <c r="M74" s="1357"/>
      <c r="N74" s="1358"/>
      <c r="O74" s="194"/>
      <c r="P74" s="194"/>
      <c r="Q74" s="194"/>
      <c r="R74" s="194"/>
    </row>
    <row r="75" spans="1:18" ht="14.25" customHeight="1" x14ac:dyDescent="0.25">
      <c r="A75" s="261"/>
      <c r="B75" s="491" t="s">
        <v>3948</v>
      </c>
      <c r="C75" s="117" t="s">
        <v>4441</v>
      </c>
      <c r="D75" s="118"/>
      <c r="E75" s="118"/>
      <c r="F75" s="119"/>
      <c r="H75" s="26"/>
      <c r="I75" s="1356"/>
      <c r="J75" s="1357"/>
      <c r="K75" s="1357"/>
      <c r="L75" s="1357"/>
      <c r="M75" s="1357"/>
      <c r="N75" s="1358"/>
      <c r="O75" s="194"/>
      <c r="P75" s="194"/>
      <c r="Q75" s="194"/>
      <c r="R75" s="194"/>
    </row>
    <row r="76" spans="1:18" ht="14.25" customHeight="1" x14ac:dyDescent="0.25">
      <c r="A76" s="261"/>
      <c r="B76" s="37" t="s">
        <v>4682</v>
      </c>
      <c r="C76" s="779">
        <f>'Budget &amp; Costs'!I59</f>
        <v>0</v>
      </c>
      <c r="D76" s="26"/>
      <c r="E76" s="26"/>
      <c r="H76" s="26"/>
      <c r="I76" s="1356"/>
      <c r="J76" s="1357"/>
      <c r="K76" s="1357"/>
      <c r="L76" s="1357"/>
      <c r="M76" s="1357"/>
      <c r="N76" s="1358"/>
      <c r="O76" s="194"/>
      <c r="P76" s="194"/>
      <c r="Q76" s="194"/>
      <c r="R76" s="194"/>
    </row>
    <row r="77" spans="1:18" ht="14.25" customHeight="1" x14ac:dyDescent="0.25">
      <c r="A77" s="261"/>
      <c r="B77" s="37" t="s">
        <v>4656</v>
      </c>
      <c r="C77" s="780">
        <f>IF(C76&gt;14.9999%,10, 0)</f>
        <v>0</v>
      </c>
      <c r="D77" s="26"/>
      <c r="E77" s="26"/>
      <c r="H77" s="26"/>
      <c r="I77" s="1356"/>
      <c r="J77" s="1357"/>
      <c r="K77" s="1357"/>
      <c r="L77" s="1357"/>
      <c r="M77" s="1357"/>
      <c r="N77" s="1358"/>
      <c r="O77" s="194"/>
      <c r="P77" s="194"/>
      <c r="Q77" s="194"/>
      <c r="R77" s="194"/>
    </row>
    <row r="78" spans="1:18" ht="14.25" customHeight="1" x14ac:dyDescent="0.25">
      <c r="A78" s="261"/>
      <c r="B78" s="5"/>
      <c r="C78"/>
      <c r="D78" s="26"/>
      <c r="E78" s="26"/>
      <c r="H78" s="9" t="s">
        <v>4763</v>
      </c>
      <c r="I78" s="1356"/>
      <c r="J78" s="1357"/>
      <c r="K78" s="1357"/>
      <c r="L78" s="1357"/>
      <c r="M78" s="1357"/>
      <c r="N78" s="1358"/>
      <c r="O78" s="194"/>
      <c r="P78" s="194"/>
      <c r="Q78" s="194"/>
      <c r="R78" s="194"/>
    </row>
    <row r="79" spans="1:18" ht="14.25" customHeight="1" x14ac:dyDescent="0.25">
      <c r="A79" s="823">
        <f>C82</f>
        <v>0</v>
      </c>
      <c r="B79" s="124" t="s">
        <v>5215</v>
      </c>
      <c r="C79" s="125"/>
      <c r="D79" s="114"/>
      <c r="E79" s="114"/>
      <c r="F79" s="115"/>
      <c r="H79" s="262"/>
      <c r="I79" s="1356"/>
      <c r="J79" s="1357"/>
      <c r="K79" s="1357"/>
      <c r="L79" s="1357"/>
      <c r="M79" s="1357"/>
      <c r="N79" s="1358"/>
      <c r="O79" s="194"/>
      <c r="P79" s="194"/>
      <c r="Q79" s="194"/>
      <c r="R79" s="194"/>
    </row>
    <row r="80" spans="1:18" ht="14.25" customHeight="1" x14ac:dyDescent="0.25">
      <c r="A80" s="261"/>
      <c r="B80" s="491" t="s">
        <v>3948</v>
      </c>
      <c r="C80" s="117" t="s">
        <v>4442</v>
      </c>
      <c r="D80" s="118"/>
      <c r="E80" s="118"/>
      <c r="F80" s="119"/>
      <c r="H80" s="26"/>
      <c r="I80" s="1356"/>
      <c r="J80" s="1357"/>
      <c r="K80" s="1357"/>
      <c r="L80" s="1357"/>
      <c r="M80" s="1357"/>
      <c r="N80" s="1358"/>
      <c r="O80" s="194"/>
      <c r="P80" s="194"/>
      <c r="Q80" s="194"/>
      <c r="R80" s="194"/>
    </row>
    <row r="81" spans="1:18" ht="14.25" customHeight="1" x14ac:dyDescent="0.25">
      <c r="A81" s="261"/>
      <c r="B81" s="37" t="s">
        <v>4681</v>
      </c>
      <c r="C81" s="778">
        <f>'Budget &amp; Costs'!F53</f>
        <v>0</v>
      </c>
      <c r="D81" s="26"/>
      <c r="E81" s="26"/>
      <c r="H81" s="26"/>
      <c r="I81" s="1356"/>
      <c r="J81" s="1357"/>
      <c r="K81" s="1357"/>
      <c r="L81" s="1357"/>
      <c r="M81" s="1357"/>
      <c r="N81" s="1358"/>
      <c r="O81" s="194"/>
      <c r="P81" s="194"/>
      <c r="Q81" s="194"/>
      <c r="R81" s="194"/>
    </row>
    <row r="82" spans="1:18" ht="14.25" customHeight="1" x14ac:dyDescent="0.25">
      <c r="A82" s="261"/>
      <c r="B82" s="37" t="s">
        <v>4656</v>
      </c>
      <c r="C82" s="781">
        <f>IF(C81&gt;14.99%,10, 0)</f>
        <v>0</v>
      </c>
      <c r="D82" s="26"/>
      <c r="E82" s="26"/>
      <c r="H82" s="26"/>
      <c r="I82" s="1356"/>
      <c r="J82" s="1357"/>
      <c r="K82" s="1357"/>
      <c r="L82" s="1357"/>
      <c r="M82" s="1357"/>
      <c r="N82" s="1358"/>
      <c r="O82" s="194"/>
      <c r="P82" s="194"/>
      <c r="Q82" s="194"/>
      <c r="R82" s="194"/>
    </row>
    <row r="83" spans="1:18" ht="14.25" customHeight="1" x14ac:dyDescent="0.25">
      <c r="A83" s="261"/>
      <c r="B83" s="5"/>
      <c r="C83"/>
      <c r="D83" s="26"/>
      <c r="E83" s="26"/>
      <c r="H83" s="9" t="s">
        <v>4302</v>
      </c>
      <c r="I83" s="1356"/>
      <c r="J83" s="1357"/>
      <c r="K83" s="1357"/>
      <c r="L83" s="1357"/>
      <c r="M83" s="1357"/>
      <c r="N83" s="1358"/>
      <c r="O83" s="194"/>
      <c r="P83" s="194"/>
      <c r="Q83" s="194"/>
      <c r="R83" s="194"/>
    </row>
    <row r="84" spans="1:18" ht="14.25" customHeight="1" x14ac:dyDescent="0.25">
      <c r="A84" s="823">
        <f>C88</f>
        <v>0</v>
      </c>
      <c r="B84" s="124" t="s">
        <v>5216</v>
      </c>
      <c r="C84" s="125"/>
      <c r="D84" s="114"/>
      <c r="E84" s="114"/>
      <c r="F84" s="115"/>
      <c r="H84" s="262"/>
      <c r="I84" s="1356"/>
      <c r="J84" s="1357"/>
      <c r="K84" s="1357"/>
      <c r="L84" s="1357"/>
      <c r="M84" s="1357"/>
      <c r="N84" s="1358"/>
      <c r="O84" s="194"/>
      <c r="P84" s="194"/>
      <c r="Q84" s="194"/>
      <c r="R84" s="194"/>
    </row>
    <row r="85" spans="1:18" ht="14.25" customHeight="1" x14ac:dyDescent="0.25">
      <c r="A85" s="261"/>
      <c r="B85" s="491" t="s">
        <v>3948</v>
      </c>
      <c r="C85" s="117" t="s">
        <v>4441</v>
      </c>
      <c r="D85" s="118"/>
      <c r="E85" s="118"/>
      <c r="F85" s="119"/>
      <c r="H85" s="26"/>
      <c r="I85" s="1356"/>
      <c r="J85" s="1357"/>
      <c r="K85" s="1357"/>
      <c r="L85" s="1357"/>
      <c r="M85" s="1357"/>
      <c r="N85" s="1358"/>
      <c r="O85" s="194"/>
      <c r="P85" s="194"/>
      <c r="Q85" s="194"/>
      <c r="R85" s="194"/>
    </row>
    <row r="86" spans="1:18" ht="14.25" customHeight="1" x14ac:dyDescent="0.25">
      <c r="A86" s="261"/>
      <c r="B86" s="37" t="s">
        <v>3950</v>
      </c>
      <c r="C86" s="779">
        <f>'Budget &amp; Costs'!E52</f>
        <v>0</v>
      </c>
      <c r="D86" s="26"/>
      <c r="E86" s="26"/>
      <c r="H86" s="26"/>
      <c r="I86" s="1356"/>
      <c r="J86" s="1357"/>
      <c r="K86" s="1357"/>
      <c r="L86" s="1357"/>
      <c r="M86" s="1357"/>
      <c r="N86" s="1358"/>
      <c r="O86" s="194"/>
      <c r="P86" s="194"/>
      <c r="Q86" s="194"/>
      <c r="R86" s="194"/>
    </row>
    <row r="87" spans="1:18" ht="14.25" customHeight="1" x14ac:dyDescent="0.25">
      <c r="A87" s="261"/>
      <c r="B87" s="37" t="s">
        <v>5204</v>
      </c>
      <c r="C87" s="1017"/>
      <c r="D87" s="26"/>
      <c r="E87" s="26"/>
      <c r="H87" s="26"/>
      <c r="I87" s="1356"/>
      <c r="J87" s="1357"/>
      <c r="K87" s="1357"/>
      <c r="L87" s="1357"/>
      <c r="M87" s="1357"/>
      <c r="N87" s="1358"/>
      <c r="O87" s="194"/>
      <c r="P87" s="194"/>
      <c r="Q87" s="194"/>
      <c r="R87" s="194"/>
    </row>
    <row r="88" spans="1:18" ht="14.25" customHeight="1" thickBot="1" x14ac:dyDescent="0.3">
      <c r="A88" s="261"/>
      <c r="B88" s="37" t="s">
        <v>4656</v>
      </c>
      <c r="C88" s="772">
        <f>IF(C86&gt;4.99%,10,0)</f>
        <v>0</v>
      </c>
      <c r="D88" s="26"/>
      <c r="E88" s="26"/>
      <c r="H88" s="26"/>
      <c r="I88" s="1359"/>
      <c r="J88" s="1360"/>
      <c r="K88" s="1360"/>
      <c r="L88" s="1360"/>
      <c r="M88" s="1360"/>
      <c r="N88" s="1361"/>
      <c r="O88" s="194"/>
      <c r="P88" s="194"/>
      <c r="Q88" s="194"/>
      <c r="R88" s="194"/>
    </row>
    <row r="89" spans="1:18" ht="18" customHeight="1" thickBot="1" x14ac:dyDescent="0.3">
      <c r="A89" s="261"/>
      <c r="B89" s="5"/>
      <c r="C89"/>
      <c r="D89" s="26"/>
      <c r="E89" s="26"/>
      <c r="H89" s="26"/>
      <c r="I89" s="100" t="str">
        <f>IF(H90&lt;&gt;F91,"Doesn't Match Self-Score","")</f>
        <v/>
      </c>
      <c r="J89" s="815"/>
      <c r="K89" s="815"/>
      <c r="L89" s="815"/>
      <c r="M89" s="815"/>
      <c r="N89" s="815"/>
      <c r="O89" s="194"/>
      <c r="P89" s="194"/>
      <c r="Q89" s="194"/>
      <c r="R89" s="194"/>
    </row>
    <row r="90" spans="1:18" ht="24.95" customHeight="1" thickBot="1" x14ac:dyDescent="0.3">
      <c r="A90" s="474" t="s">
        <v>5250</v>
      </c>
      <c r="B90" s="479"/>
      <c r="C90" s="480"/>
      <c r="D90" s="106"/>
      <c r="E90" s="106"/>
      <c r="F90" s="107"/>
      <c r="H90" s="128">
        <f>SUM(H92,H97)</f>
        <v>0</v>
      </c>
      <c r="I90" s="1350" t="s">
        <v>4915</v>
      </c>
      <c r="J90" s="1351"/>
      <c r="K90" s="1351"/>
      <c r="L90" s="1351"/>
      <c r="M90" s="1351"/>
      <c r="N90" s="1352"/>
      <c r="O90" s="194"/>
      <c r="P90" s="194"/>
      <c r="Q90" s="194"/>
      <c r="R90" s="194"/>
    </row>
    <row r="91" spans="1:18" ht="14.25" customHeight="1" x14ac:dyDescent="0.25">
      <c r="A91" s="1367" t="s">
        <v>4408</v>
      </c>
      <c r="B91" s="1368"/>
      <c r="C91" s="1368"/>
      <c r="D91" s="110"/>
      <c r="E91" s="475" t="s">
        <v>3949</v>
      </c>
      <c r="F91" s="813">
        <f>SUM(A92,A97)</f>
        <v>0</v>
      </c>
      <c r="H91" s="9" t="s">
        <v>5227</v>
      </c>
      <c r="I91" s="1353"/>
      <c r="J91" s="1354"/>
      <c r="K91" s="1354"/>
      <c r="L91" s="1354"/>
      <c r="M91" s="1354"/>
      <c r="N91" s="1355"/>
      <c r="O91" s="194"/>
      <c r="P91" s="194"/>
      <c r="Q91" s="194"/>
      <c r="R91" s="194"/>
    </row>
    <row r="92" spans="1:18" ht="14.25" customHeight="1" x14ac:dyDescent="0.25">
      <c r="A92" s="823">
        <f>C95</f>
        <v>0</v>
      </c>
      <c r="B92" s="753" t="s">
        <v>5217</v>
      </c>
      <c r="C92" s="125"/>
      <c r="D92" s="114"/>
      <c r="E92" s="114"/>
      <c r="F92" s="115"/>
      <c r="H92" s="262"/>
      <c r="I92" s="1356"/>
      <c r="J92" s="1357"/>
      <c r="K92" s="1357"/>
      <c r="L92" s="1357"/>
      <c r="M92" s="1357"/>
      <c r="N92" s="1358"/>
      <c r="O92" s="194"/>
      <c r="P92" s="194"/>
      <c r="Q92" s="194"/>
      <c r="R92" s="194"/>
    </row>
    <row r="93" spans="1:18" ht="14.25" customHeight="1" x14ac:dyDescent="0.25">
      <c r="A93" s="261"/>
      <c r="B93" s="491" t="s">
        <v>3948</v>
      </c>
      <c r="C93" s="117" t="s">
        <v>4440</v>
      </c>
      <c r="D93" s="122"/>
      <c r="E93" s="118"/>
      <c r="F93" s="119"/>
      <c r="H93" s="26"/>
      <c r="I93" s="1356"/>
      <c r="J93" s="1357"/>
      <c r="K93" s="1357"/>
      <c r="L93" s="1357"/>
      <c r="M93" s="1357"/>
      <c r="N93" s="1358"/>
      <c r="O93" s="194"/>
      <c r="P93" s="194"/>
      <c r="Q93" s="194"/>
      <c r="R93" s="194"/>
    </row>
    <row r="94" spans="1:18" ht="14.25" customHeight="1" x14ac:dyDescent="0.25">
      <c r="A94" s="261"/>
      <c r="B94" s="37" t="s">
        <v>4869</v>
      </c>
      <c r="C94" s="190"/>
      <c r="D94" s="963"/>
      <c r="E94" s="26"/>
      <c r="H94" s="26"/>
      <c r="I94" s="1356"/>
      <c r="J94" s="1357"/>
      <c r="K94" s="1357"/>
      <c r="L94" s="1357"/>
      <c r="M94" s="1357"/>
      <c r="N94" s="1358"/>
      <c r="O94" s="194"/>
      <c r="P94" s="194"/>
      <c r="Q94" s="194"/>
      <c r="R94" s="194"/>
    </row>
    <row r="95" spans="1:18" ht="14.25" customHeight="1" x14ac:dyDescent="0.25">
      <c r="A95" s="261"/>
      <c r="B95" s="37" t="s">
        <v>4656</v>
      </c>
      <c r="C95" s="783">
        <f>IF(C94="Greater than 66%",5,IF(C94="&gt;48%-66%",3,IF(C94="30%-48%",1, 0)))</f>
        <v>0</v>
      </c>
      <c r="D95" s="26"/>
      <c r="E95" s="26"/>
      <c r="H95" s="26"/>
      <c r="I95" s="1356"/>
      <c r="J95" s="1357"/>
      <c r="K95" s="1357"/>
      <c r="L95" s="1357"/>
      <c r="M95" s="1357"/>
      <c r="N95" s="1358"/>
      <c r="O95" s="194"/>
      <c r="P95" s="194"/>
      <c r="Q95" s="194"/>
      <c r="R95" s="194"/>
    </row>
    <row r="96" spans="1:18" ht="14.25" customHeight="1" x14ac:dyDescent="0.25">
      <c r="A96" s="261"/>
      <c r="B96" s="5"/>
      <c r="C96"/>
      <c r="D96" s="26"/>
      <c r="E96" s="26"/>
      <c r="H96" s="9" t="s">
        <v>5228</v>
      </c>
      <c r="I96" s="1356"/>
      <c r="J96" s="1357"/>
      <c r="K96" s="1357"/>
      <c r="L96" s="1357"/>
      <c r="M96" s="1357"/>
      <c r="N96" s="1358"/>
      <c r="O96" s="194"/>
      <c r="P96" s="194"/>
      <c r="Q96" s="194"/>
      <c r="R96" s="194"/>
    </row>
    <row r="97" spans="1:18" ht="14.25" customHeight="1" x14ac:dyDescent="0.25">
      <c r="A97" s="822">
        <f>C101</f>
        <v>0</v>
      </c>
      <c r="B97" s="753" t="s">
        <v>5218</v>
      </c>
      <c r="C97" s="125"/>
      <c r="D97" s="114"/>
      <c r="E97" s="114"/>
      <c r="F97" s="115"/>
      <c r="H97" s="262"/>
      <c r="I97" s="1356"/>
      <c r="J97" s="1357"/>
      <c r="K97" s="1357"/>
      <c r="L97" s="1357"/>
      <c r="M97" s="1357"/>
      <c r="N97" s="1358"/>
      <c r="O97" s="194"/>
      <c r="P97" s="194"/>
      <c r="Q97" s="194"/>
      <c r="R97" s="194"/>
    </row>
    <row r="98" spans="1:18" ht="14.25" customHeight="1" x14ac:dyDescent="0.25">
      <c r="A98" s="261"/>
      <c r="B98" s="491" t="s">
        <v>3948</v>
      </c>
      <c r="C98" s="117" t="s">
        <v>4634</v>
      </c>
      <c r="D98" s="118"/>
      <c r="E98" s="118"/>
      <c r="F98" s="119"/>
      <c r="H98" s="26"/>
      <c r="I98" s="1356"/>
      <c r="J98" s="1357"/>
      <c r="K98" s="1357"/>
      <c r="L98" s="1357"/>
      <c r="M98" s="1357"/>
      <c r="N98" s="1358"/>
      <c r="O98" s="194"/>
      <c r="P98" s="194"/>
      <c r="Q98" s="194"/>
      <c r="R98" s="194"/>
    </row>
    <row r="99" spans="1:18" ht="14.25" customHeight="1" x14ac:dyDescent="0.25">
      <c r="A99" s="261"/>
      <c r="B99" s="37" t="s">
        <v>5220</v>
      </c>
      <c r="C99" s="960" t="e">
        <f>VLOOKUP('Project Details'!C12,Data!$L$5:$M$92,2,FALSE)</f>
        <v>#N/A</v>
      </c>
      <c r="D99" s="191"/>
      <c r="E99" s="26"/>
      <c r="H99" s="26"/>
      <c r="I99" s="1356"/>
      <c r="J99" s="1357"/>
      <c r="K99" s="1357"/>
      <c r="L99" s="1357"/>
      <c r="M99" s="1357"/>
      <c r="N99" s="1358"/>
      <c r="O99" s="194"/>
      <c r="P99" s="194"/>
      <c r="Q99" s="194"/>
      <c r="R99" s="194"/>
    </row>
    <row r="100" spans="1:18" ht="14.25" customHeight="1" thickBot="1" x14ac:dyDescent="0.3">
      <c r="A100" s="261"/>
      <c r="B100" s="37" t="s">
        <v>4869</v>
      </c>
      <c r="C100" s="1018"/>
      <c r="D100" s="26"/>
      <c r="E100" s="26"/>
      <c r="H100" s="26"/>
      <c r="I100" s="1359"/>
      <c r="J100" s="1360"/>
      <c r="K100" s="1360"/>
      <c r="L100" s="1360"/>
      <c r="M100" s="1360"/>
      <c r="N100" s="1361"/>
      <c r="O100" s="194"/>
      <c r="P100" s="194"/>
      <c r="Q100" s="194"/>
      <c r="R100" s="194"/>
    </row>
    <row r="101" spans="1:18" ht="14.25" customHeight="1" x14ac:dyDescent="0.25">
      <c r="A101" s="261"/>
      <c r="B101" s="37" t="s">
        <v>3899</v>
      </c>
      <c r="C101" s="961">
        <f>IF(C100="Zero",5,IF(C100="Greater than 0 less than 1",4,IF(C100="Greater than 1 Less than 1.5",3,IF(C100="Greater than 1.5 Less than 2",2,IF(C100="Greater than 2",1, 0)))))</f>
        <v>0</v>
      </c>
      <c r="D101" s="26"/>
      <c r="E101" s="26"/>
      <c r="H101" s="26"/>
      <c r="I101" s="962"/>
      <c r="J101" s="962"/>
      <c r="K101" s="962"/>
      <c r="L101" s="962"/>
      <c r="M101" s="962"/>
      <c r="N101" s="962"/>
      <c r="O101" s="194"/>
      <c r="P101" s="194"/>
      <c r="Q101" s="194"/>
      <c r="R101" s="194"/>
    </row>
    <row r="102" spans="1:18" ht="14.25" customHeight="1" thickBot="1" x14ac:dyDescent="0.3">
      <c r="A102" s="261"/>
      <c r="B102" s="5"/>
      <c r="D102" s="26"/>
      <c r="E102" s="26"/>
      <c r="H102" s="26"/>
      <c r="I102" s="100" t="str">
        <f>IF(H103&lt;&gt;F104,"Doesn't Match Self-Score","")</f>
        <v/>
      </c>
      <c r="J102" s="815"/>
      <c r="K102" s="815"/>
      <c r="L102" s="815"/>
      <c r="M102" s="815"/>
      <c r="N102" s="815"/>
      <c r="O102" s="194"/>
      <c r="P102" s="194"/>
      <c r="Q102" s="194"/>
      <c r="R102" s="194"/>
    </row>
    <row r="103" spans="1:18" ht="24.95" customHeight="1" thickBot="1" x14ac:dyDescent="0.3">
      <c r="A103" s="474" t="s">
        <v>5251</v>
      </c>
      <c r="B103" s="479"/>
      <c r="C103" s="480"/>
      <c r="D103" s="106"/>
      <c r="E103" s="106"/>
      <c r="F103" s="107"/>
      <c r="H103" s="128">
        <f>H105</f>
        <v>0</v>
      </c>
      <c r="I103" s="1363" t="s">
        <v>5264</v>
      </c>
      <c r="J103" s="1364"/>
      <c r="K103" s="1364"/>
      <c r="L103" s="1364"/>
      <c r="M103" s="1364"/>
      <c r="N103" s="1365"/>
      <c r="O103" s="194"/>
      <c r="P103" s="194"/>
      <c r="Q103" s="194"/>
      <c r="R103" s="194"/>
    </row>
    <row r="104" spans="1:18" ht="14.25" customHeight="1" x14ac:dyDescent="0.25">
      <c r="A104" s="1367" t="s">
        <v>4407</v>
      </c>
      <c r="B104" s="1368"/>
      <c r="C104" s="1368"/>
      <c r="D104" s="110"/>
      <c r="E104" s="475" t="s">
        <v>3949</v>
      </c>
      <c r="F104" s="813">
        <f>A105</f>
        <v>0</v>
      </c>
      <c r="H104" s="9" t="s">
        <v>5229</v>
      </c>
      <c r="I104" s="1353"/>
      <c r="J104" s="1354"/>
      <c r="K104" s="1354"/>
      <c r="L104" s="1354"/>
      <c r="M104" s="1354"/>
      <c r="N104" s="1355"/>
      <c r="O104" s="194"/>
      <c r="P104" s="194"/>
      <c r="Q104" s="194"/>
      <c r="R104" s="194"/>
    </row>
    <row r="105" spans="1:18" ht="14.25" customHeight="1" x14ac:dyDescent="0.25">
      <c r="A105" s="823">
        <f>C110</f>
        <v>0</v>
      </c>
      <c r="B105" s="124"/>
      <c r="C105" s="125"/>
      <c r="D105" s="114"/>
      <c r="E105" s="114"/>
      <c r="F105" s="115"/>
      <c r="H105" s="262"/>
      <c r="I105" s="1356"/>
      <c r="J105" s="1357"/>
      <c r="K105" s="1357"/>
      <c r="L105" s="1357"/>
      <c r="M105" s="1357"/>
      <c r="N105" s="1358"/>
      <c r="O105" s="194"/>
      <c r="P105" s="194"/>
      <c r="Q105" s="194"/>
      <c r="R105" s="194"/>
    </row>
    <row r="106" spans="1:18" ht="15" x14ac:dyDescent="0.25">
      <c r="A106" s="261"/>
      <c r="B106" s="490" t="s">
        <v>3948</v>
      </c>
      <c r="C106" s="1260" t="s">
        <v>4478</v>
      </c>
      <c r="D106" s="1260"/>
      <c r="E106" s="1260"/>
      <c r="F106" s="1261"/>
      <c r="H106" s="26"/>
      <c r="I106" s="1356"/>
      <c r="J106" s="1357"/>
      <c r="K106" s="1357"/>
      <c r="L106" s="1357"/>
      <c r="M106" s="1357"/>
      <c r="N106" s="1358"/>
      <c r="O106" s="194"/>
      <c r="P106" s="194"/>
      <c r="Q106" s="194"/>
      <c r="R106" s="194"/>
    </row>
    <row r="107" spans="1:18" ht="14.25" customHeight="1" x14ac:dyDescent="0.25">
      <c r="A107" s="261"/>
      <c r="B107" s="37" t="s">
        <v>3896</v>
      </c>
      <c r="C107" s="684">
        <f>'Budget &amp; Costs'!D50</f>
        <v>0</v>
      </c>
      <c r="D107" s="963"/>
      <c r="E107" s="26"/>
      <c r="H107" s="26"/>
      <c r="I107" s="1356"/>
      <c r="J107" s="1357"/>
      <c r="K107" s="1357"/>
      <c r="L107" s="1357"/>
      <c r="M107" s="1357"/>
      <c r="N107" s="1358"/>
      <c r="O107" s="194"/>
      <c r="P107" s="194"/>
      <c r="Q107" s="194"/>
      <c r="R107" s="194"/>
    </row>
    <row r="108" spans="1:18" ht="14.25" customHeight="1" x14ac:dyDescent="0.25">
      <c r="A108" s="261"/>
      <c r="B108" s="37" t="s">
        <v>3897</v>
      </c>
      <c r="C108" s="964">
        <f>'Housing Credits'!C43</f>
        <v>0</v>
      </c>
      <c r="D108" s="26"/>
      <c r="E108" s="26"/>
      <c r="H108" s="26"/>
      <c r="I108" s="1356"/>
      <c r="J108" s="1357"/>
      <c r="K108" s="1357"/>
      <c r="L108" s="1357"/>
      <c r="M108" s="1357"/>
      <c r="N108" s="1358"/>
      <c r="O108" s="194"/>
      <c r="P108" s="194"/>
      <c r="Q108" s="194"/>
      <c r="R108" s="194"/>
    </row>
    <row r="109" spans="1:18" ht="14.25" customHeight="1" x14ac:dyDescent="0.25">
      <c r="A109" s="261"/>
      <c r="B109" s="37" t="s">
        <v>3898</v>
      </c>
      <c r="C109" s="784" t="e">
        <f>C108/C107</f>
        <v>#DIV/0!</v>
      </c>
      <c r="D109" s="26"/>
      <c r="E109" s="26"/>
      <c r="H109" s="26"/>
      <c r="I109" s="1356"/>
      <c r="J109" s="1357"/>
      <c r="K109" s="1357"/>
      <c r="L109" s="1357"/>
      <c r="M109" s="1357"/>
      <c r="N109" s="1358"/>
      <c r="O109" s="194"/>
      <c r="P109" s="194"/>
      <c r="Q109" s="194"/>
      <c r="R109" s="194"/>
    </row>
    <row r="110" spans="1:18" ht="14.25" customHeight="1" thickBot="1" x14ac:dyDescent="0.3">
      <c r="A110" s="261"/>
      <c r="B110" s="37" t="s">
        <v>4867</v>
      </c>
      <c r="C110" s="1019"/>
      <c r="D110" s="26"/>
      <c r="E110" s="26"/>
      <c r="H110" s="26"/>
      <c r="I110" s="1356"/>
      <c r="J110" s="1357"/>
      <c r="K110" s="1357"/>
      <c r="L110" s="1357"/>
      <c r="M110" s="1357"/>
      <c r="N110" s="1358"/>
      <c r="O110" s="194"/>
      <c r="P110" s="194"/>
      <c r="Q110" s="194"/>
      <c r="R110" s="194"/>
    </row>
    <row r="111" spans="1:18" ht="14.25" customHeight="1" x14ac:dyDescent="0.25">
      <c r="A111" s="261"/>
      <c r="B111" s="5"/>
      <c r="C111"/>
      <c r="D111" s="26"/>
      <c r="E111" s="26"/>
      <c r="H111" s="425"/>
      <c r="I111" s="965"/>
      <c r="J111" s="965"/>
      <c r="K111" s="965"/>
      <c r="L111" s="965"/>
      <c r="M111" s="965"/>
      <c r="N111" s="965"/>
      <c r="O111" s="194"/>
      <c r="P111" s="194"/>
      <c r="Q111" s="194"/>
      <c r="R111" s="194"/>
    </row>
    <row r="112" spans="1:18" ht="14.25" customHeight="1" thickBot="1" x14ac:dyDescent="0.3">
      <c r="A112" s="261"/>
      <c r="B112" s="5"/>
      <c r="D112" s="26"/>
      <c r="E112" s="26"/>
      <c r="H112" s="26"/>
      <c r="I112" s="100" t="str">
        <f>IF(H113&lt;&gt;F114,"Doesn't Match Self-Score","")</f>
        <v/>
      </c>
      <c r="J112" s="815"/>
      <c r="K112" s="815"/>
      <c r="L112" s="815"/>
      <c r="M112" s="815"/>
      <c r="N112" s="815"/>
      <c r="O112" s="194"/>
      <c r="P112" s="194"/>
      <c r="Q112" s="194"/>
      <c r="R112" s="194"/>
    </row>
    <row r="113" spans="1:18" ht="24.95" customHeight="1" thickBot="1" x14ac:dyDescent="0.3">
      <c r="A113" s="474" t="s">
        <v>5252</v>
      </c>
      <c r="B113" s="479"/>
      <c r="C113" s="480"/>
      <c r="D113" s="106"/>
      <c r="E113" s="106"/>
      <c r="F113" s="107"/>
      <c r="H113" s="128">
        <f>H115</f>
        <v>0</v>
      </c>
      <c r="I113" s="1350" t="s">
        <v>5265</v>
      </c>
      <c r="J113" s="1351"/>
      <c r="K113" s="1351"/>
      <c r="L113" s="1351"/>
      <c r="M113" s="1351"/>
      <c r="N113" s="1352"/>
      <c r="O113" s="194"/>
      <c r="P113" s="194"/>
      <c r="Q113" s="194"/>
      <c r="R113" s="194"/>
    </row>
    <row r="114" spans="1:18" ht="14.25" customHeight="1" x14ac:dyDescent="0.25">
      <c r="A114" s="1384" t="s">
        <v>4638</v>
      </c>
      <c r="B114" s="1385"/>
      <c r="C114" s="1385"/>
      <c r="D114" s="110"/>
      <c r="E114" s="475" t="s">
        <v>3949</v>
      </c>
      <c r="F114" s="476">
        <f>A115</f>
        <v>0</v>
      </c>
      <c r="H114" s="425" t="s">
        <v>5242</v>
      </c>
      <c r="I114" s="1353"/>
      <c r="J114" s="1354"/>
      <c r="K114" s="1354"/>
      <c r="L114" s="1354"/>
      <c r="M114" s="1354"/>
      <c r="N114" s="1355"/>
      <c r="O114" s="194"/>
      <c r="P114" s="194"/>
      <c r="Q114" s="194"/>
      <c r="R114" s="194"/>
    </row>
    <row r="115" spans="1:18" ht="14.25" customHeight="1" x14ac:dyDescent="0.25">
      <c r="A115" s="822">
        <f>C118</f>
        <v>0</v>
      </c>
      <c r="B115" s="124"/>
      <c r="C115" s="125"/>
      <c r="D115" s="114"/>
      <c r="E115" s="114"/>
      <c r="F115" s="115"/>
      <c r="H115" s="262"/>
      <c r="I115" s="1356"/>
      <c r="J115" s="1357"/>
      <c r="K115" s="1357"/>
      <c r="L115" s="1357"/>
      <c r="M115" s="1357"/>
      <c r="N115" s="1358"/>
      <c r="O115" s="194"/>
      <c r="P115" s="194"/>
      <c r="Q115" s="194"/>
      <c r="R115" s="194"/>
    </row>
    <row r="116" spans="1:18" ht="57.75" customHeight="1" x14ac:dyDescent="0.25">
      <c r="A116" s="261"/>
      <c r="B116" s="490" t="s">
        <v>3948</v>
      </c>
      <c r="C116" s="1372" t="s">
        <v>5230</v>
      </c>
      <c r="D116" s="1372"/>
      <c r="E116" s="1372"/>
      <c r="F116" s="1373"/>
      <c r="H116" s="26"/>
      <c r="I116" s="1356"/>
      <c r="J116" s="1357"/>
      <c r="K116" s="1357"/>
      <c r="L116" s="1357"/>
      <c r="M116" s="1357"/>
      <c r="N116" s="1358"/>
      <c r="O116" s="194"/>
      <c r="P116" s="194"/>
      <c r="Q116" s="194"/>
      <c r="R116" s="194"/>
    </row>
    <row r="117" spans="1:18" ht="14.25" customHeight="1" x14ac:dyDescent="0.25">
      <c r="A117" s="261"/>
      <c r="B117" s="37" t="s">
        <v>5241</v>
      </c>
      <c r="C117" s="993" t="e">
        <f>C119/C120</f>
        <v>#DIV/0!</v>
      </c>
      <c r="D117" s="26"/>
      <c r="E117" s="26"/>
      <c r="H117" s="26"/>
      <c r="I117" s="1356"/>
      <c r="J117" s="1357"/>
      <c r="K117" s="1357"/>
      <c r="L117" s="1357"/>
      <c r="M117" s="1357"/>
      <c r="N117" s="1358"/>
      <c r="O117" s="194"/>
      <c r="P117" s="194"/>
      <c r="Q117" s="194"/>
      <c r="R117" s="194"/>
    </row>
    <row r="118" spans="1:18" ht="14.25" customHeight="1" x14ac:dyDescent="0.25">
      <c r="A118" s="261"/>
      <c r="B118" s="37" t="s">
        <v>4656</v>
      </c>
      <c r="C118" s="1017"/>
      <c r="D118" s="26"/>
      <c r="E118" s="26"/>
      <c r="H118" s="26"/>
      <c r="I118" s="1356"/>
      <c r="J118" s="1357"/>
      <c r="K118" s="1357"/>
      <c r="L118" s="1357"/>
      <c r="M118" s="1357"/>
      <c r="N118" s="1358"/>
      <c r="O118" s="194"/>
      <c r="P118" s="194"/>
      <c r="Q118" s="194"/>
      <c r="R118" s="194"/>
    </row>
    <row r="119" spans="1:18" ht="14.25" customHeight="1" x14ac:dyDescent="0.25">
      <c r="A119" s="261"/>
      <c r="B119" s="37" t="s">
        <v>4624</v>
      </c>
      <c r="C119" s="603">
        <f>SUM(D123:D131)</f>
        <v>0</v>
      </c>
      <c r="D119" s="26"/>
      <c r="E119" s="26"/>
      <c r="H119" s="26"/>
      <c r="I119" s="1356"/>
      <c r="J119" s="1357"/>
      <c r="K119" s="1357"/>
      <c r="L119" s="1357"/>
      <c r="M119" s="1357"/>
      <c r="N119" s="1358"/>
      <c r="O119" s="194"/>
      <c r="P119" s="194"/>
      <c r="Q119" s="194"/>
      <c r="R119" s="194"/>
    </row>
    <row r="120" spans="1:18" ht="14.25" customHeight="1" x14ac:dyDescent="0.25">
      <c r="A120" s="261"/>
      <c r="B120" s="37" t="s">
        <v>4969</v>
      </c>
      <c r="C120" s="966">
        <f>SUM('Budget &amp; Costs'!C9:C43)</f>
        <v>0</v>
      </c>
      <c r="D120" s="26"/>
      <c r="E120" s="26"/>
      <c r="H120" s="26"/>
      <c r="I120" s="1356"/>
      <c r="J120" s="1357"/>
      <c r="K120" s="1357"/>
      <c r="L120" s="1357"/>
      <c r="M120" s="1357"/>
      <c r="N120" s="1358"/>
      <c r="O120" s="194"/>
      <c r="P120" s="194"/>
      <c r="Q120" s="194"/>
      <c r="R120" s="194"/>
    </row>
    <row r="121" spans="1:18" ht="14.25" customHeight="1" x14ac:dyDescent="0.25">
      <c r="A121" s="261"/>
      <c r="C121" s="994"/>
      <c r="D121" s="26"/>
      <c r="E121" s="26"/>
      <c r="H121" s="26"/>
      <c r="I121" s="1356"/>
      <c r="J121" s="1357"/>
      <c r="K121" s="1357"/>
      <c r="L121" s="1357"/>
      <c r="M121" s="1357"/>
      <c r="N121" s="1358"/>
      <c r="O121" s="194"/>
      <c r="P121" s="194"/>
      <c r="Q121" s="194"/>
      <c r="R121" s="194"/>
    </row>
    <row r="122" spans="1:18" ht="30.75" customHeight="1" x14ac:dyDescent="0.25">
      <c r="A122" s="261"/>
      <c r="B122" s="26" t="s">
        <v>4625</v>
      </c>
      <c r="C122" s="26"/>
      <c r="D122" s="26" t="s">
        <v>4628</v>
      </c>
      <c r="E122" s="26" t="s">
        <v>4626</v>
      </c>
      <c r="F122" s="26" t="s">
        <v>4627</v>
      </c>
      <c r="H122" s="26"/>
      <c r="I122" s="1356"/>
      <c r="J122" s="1357"/>
      <c r="K122" s="1357"/>
      <c r="L122" s="1357"/>
      <c r="M122" s="1357"/>
      <c r="N122" s="1358"/>
      <c r="O122" s="194"/>
      <c r="P122" s="194"/>
      <c r="Q122" s="194"/>
      <c r="R122" s="194"/>
    </row>
    <row r="123" spans="1:18" ht="14.25" customHeight="1" x14ac:dyDescent="0.25">
      <c r="A123" s="261"/>
      <c r="B123" s="1382"/>
      <c r="C123" s="1383"/>
      <c r="D123" s="605"/>
      <c r="E123" s="604"/>
      <c r="F123" s="503"/>
      <c r="H123" s="26"/>
      <c r="I123" s="1356"/>
      <c r="J123" s="1357"/>
      <c r="K123" s="1357"/>
      <c r="L123" s="1357"/>
      <c r="M123" s="1357"/>
      <c r="N123" s="1358"/>
      <c r="O123" s="194"/>
      <c r="P123" s="194"/>
      <c r="Q123" s="194"/>
      <c r="R123" s="194"/>
    </row>
    <row r="124" spans="1:18" ht="14.25" customHeight="1" x14ac:dyDescent="0.25">
      <c r="A124" s="261"/>
      <c r="B124" s="1382"/>
      <c r="C124" s="1383"/>
      <c r="D124" s="605"/>
      <c r="E124" s="604"/>
      <c r="F124" s="503"/>
      <c r="H124" s="26"/>
      <c r="I124" s="1356"/>
      <c r="J124" s="1357"/>
      <c r="K124" s="1357"/>
      <c r="L124" s="1357"/>
      <c r="M124" s="1357"/>
      <c r="N124" s="1358"/>
      <c r="O124" s="194"/>
      <c r="P124" s="194"/>
      <c r="Q124" s="194"/>
      <c r="R124" s="194"/>
    </row>
    <row r="125" spans="1:18" ht="14.25" customHeight="1" x14ac:dyDescent="0.25">
      <c r="A125" s="261"/>
      <c r="B125" s="1382"/>
      <c r="C125" s="1383"/>
      <c r="D125" s="605"/>
      <c r="E125" s="604"/>
      <c r="F125" s="503"/>
      <c r="H125" s="26"/>
      <c r="I125" s="1356"/>
      <c r="J125" s="1357"/>
      <c r="K125" s="1357"/>
      <c r="L125" s="1357"/>
      <c r="M125" s="1357"/>
      <c r="N125" s="1358"/>
      <c r="O125" s="194"/>
      <c r="P125" s="194"/>
      <c r="Q125" s="194"/>
      <c r="R125" s="194"/>
    </row>
    <row r="126" spans="1:18" ht="14.25" customHeight="1" x14ac:dyDescent="0.25">
      <c r="A126" s="261"/>
      <c r="B126" s="1382"/>
      <c r="C126" s="1383"/>
      <c r="D126" s="605"/>
      <c r="E126" s="604"/>
      <c r="F126" s="503"/>
      <c r="H126" s="26"/>
      <c r="I126" s="1356"/>
      <c r="J126" s="1357"/>
      <c r="K126" s="1357"/>
      <c r="L126" s="1357"/>
      <c r="M126" s="1357"/>
      <c r="N126" s="1358"/>
      <c r="O126" s="194"/>
      <c r="P126" s="194"/>
      <c r="Q126" s="194"/>
      <c r="R126" s="194"/>
    </row>
    <row r="127" spans="1:18" ht="14.25" customHeight="1" x14ac:dyDescent="0.25">
      <c r="A127" s="261"/>
      <c r="B127" s="1382"/>
      <c r="C127" s="1383"/>
      <c r="D127" s="605"/>
      <c r="E127" s="604"/>
      <c r="F127" s="503"/>
      <c r="H127" s="26"/>
      <c r="I127" s="1356"/>
      <c r="J127" s="1357"/>
      <c r="K127" s="1357"/>
      <c r="L127" s="1357"/>
      <c r="M127" s="1357"/>
      <c r="N127" s="1358"/>
      <c r="O127" s="194"/>
      <c r="P127" s="194"/>
      <c r="Q127" s="194"/>
      <c r="R127" s="194"/>
    </row>
    <row r="128" spans="1:18" ht="15.75" customHeight="1" x14ac:dyDescent="0.25">
      <c r="A128" s="261"/>
      <c r="B128" s="1394"/>
      <c r="C128" s="1383"/>
      <c r="D128" s="605"/>
      <c r="E128" s="604"/>
      <c r="F128" s="503"/>
      <c r="H128" s="26"/>
      <c r="I128" s="1356"/>
      <c r="J128" s="1357"/>
      <c r="K128" s="1357"/>
      <c r="L128" s="1357"/>
      <c r="M128" s="1357"/>
      <c r="N128" s="1358"/>
      <c r="O128" s="194"/>
      <c r="P128" s="194"/>
      <c r="Q128" s="194"/>
      <c r="R128" s="194"/>
    </row>
    <row r="129" spans="1:18" ht="14.25" customHeight="1" x14ac:dyDescent="0.25">
      <c r="A129" s="261"/>
      <c r="B129" s="1382"/>
      <c r="C129" s="1383"/>
      <c r="D129" s="605"/>
      <c r="E129" s="604"/>
      <c r="F129" s="503"/>
      <c r="H129" s="26"/>
      <c r="I129" s="1356"/>
      <c r="J129" s="1357"/>
      <c r="K129" s="1357"/>
      <c r="L129" s="1357"/>
      <c r="M129" s="1357"/>
      <c r="N129" s="1358"/>
      <c r="O129" s="194"/>
      <c r="P129" s="194"/>
      <c r="Q129" s="194"/>
      <c r="R129" s="194"/>
    </row>
    <row r="130" spans="1:18" ht="14.25" customHeight="1" x14ac:dyDescent="0.25">
      <c r="A130" s="261"/>
      <c r="B130" s="1382"/>
      <c r="C130" s="1383"/>
      <c r="D130" s="606"/>
      <c r="E130" s="604"/>
      <c r="F130" s="601"/>
      <c r="H130" s="26"/>
      <c r="I130" s="1356"/>
      <c r="J130" s="1357"/>
      <c r="K130" s="1357"/>
      <c r="L130" s="1357"/>
      <c r="M130" s="1357"/>
      <c r="N130" s="1358"/>
      <c r="O130" s="194"/>
      <c r="P130" s="194"/>
      <c r="Q130" s="194"/>
      <c r="R130" s="194"/>
    </row>
    <row r="131" spans="1:18" ht="14.25" customHeight="1" x14ac:dyDescent="0.25">
      <c r="A131" s="261"/>
      <c r="B131" s="1382"/>
      <c r="C131" s="1383"/>
      <c r="D131" s="606"/>
      <c r="E131" s="604"/>
      <c r="F131" s="601"/>
      <c r="H131" s="26"/>
      <c r="I131" s="1356"/>
      <c r="J131" s="1357"/>
      <c r="K131" s="1357"/>
      <c r="L131" s="1357"/>
      <c r="M131" s="1357"/>
      <c r="N131" s="1358"/>
      <c r="O131" s="194"/>
      <c r="P131" s="194"/>
      <c r="Q131" s="194"/>
      <c r="R131" s="194"/>
    </row>
    <row r="132" spans="1:18" ht="14.25" customHeight="1" thickBot="1" x14ac:dyDescent="0.3">
      <c r="A132" s="261"/>
      <c r="B132" s="5"/>
      <c r="D132" s="26"/>
      <c r="E132" s="26"/>
      <c r="H132" s="26"/>
      <c r="I132" s="1359"/>
      <c r="J132" s="1360"/>
      <c r="K132" s="1360"/>
      <c r="L132" s="1360"/>
      <c r="M132" s="1360"/>
      <c r="N132" s="1361"/>
      <c r="O132" s="194"/>
      <c r="P132" s="194"/>
      <c r="Q132" s="194"/>
      <c r="R132" s="194"/>
    </row>
    <row r="133" spans="1:18" ht="14.25" customHeight="1" thickBot="1" x14ac:dyDescent="0.25">
      <c r="A133" s="49"/>
      <c r="B133" s="49"/>
      <c r="C133" s="49"/>
      <c r="D133" s="26"/>
      <c r="E133" s="26"/>
      <c r="H133" s="26"/>
      <c r="I133" s="100" t="str">
        <f>IF(H134&lt;&gt;F135,"Doesn't Match Self-Score","")</f>
        <v/>
      </c>
      <c r="J133" s="816"/>
      <c r="K133" s="816"/>
      <c r="L133" s="816"/>
      <c r="M133" s="816"/>
      <c r="N133" s="816"/>
      <c r="O133" s="194"/>
      <c r="P133" s="194"/>
      <c r="Q133" s="194"/>
      <c r="R133" s="194"/>
    </row>
    <row r="134" spans="1:18" ht="24.95" customHeight="1" thickBot="1" x14ac:dyDescent="0.3">
      <c r="A134" s="474" t="s">
        <v>5253</v>
      </c>
      <c r="B134" s="479"/>
      <c r="C134" s="480"/>
      <c r="D134" s="106"/>
      <c r="E134" s="106"/>
      <c r="F134" s="107"/>
      <c r="H134" s="128">
        <f>IF(H136+H141+H146+H161+H167+H176+H185+H159+H191&gt;35,35,SUM(H136+H141+H146+H161+H167+H176+H185+H159+H191))</f>
        <v>0</v>
      </c>
      <c r="I134" s="1350" t="s">
        <v>5266</v>
      </c>
      <c r="J134" s="1351"/>
      <c r="K134" s="1351"/>
      <c r="L134" s="1351"/>
      <c r="M134" s="1351"/>
      <c r="N134" s="1352"/>
      <c r="O134" s="194"/>
      <c r="P134" s="194"/>
      <c r="Q134" s="194"/>
      <c r="R134" s="194"/>
    </row>
    <row r="135" spans="1:18" ht="14.25" customHeight="1" x14ac:dyDescent="0.25">
      <c r="A135" s="1367" t="s">
        <v>5276</v>
      </c>
      <c r="B135" s="1368"/>
      <c r="C135" s="1368"/>
      <c r="D135" s="110"/>
      <c r="E135" s="475" t="s">
        <v>3949</v>
      </c>
      <c r="F135" s="476">
        <f>IF(A136+A141+A146+A161+A167+A159+A176+A185+A191&gt;35,35,SUM(A136+A141+A146+A161+A167+A159+A176+A185+A191))</f>
        <v>0</v>
      </c>
      <c r="H135" s="9" t="s">
        <v>3900</v>
      </c>
      <c r="I135" s="1340"/>
      <c r="J135" s="1341"/>
      <c r="K135" s="1341"/>
      <c r="L135" s="1341"/>
      <c r="M135" s="1341"/>
      <c r="N135" s="1342"/>
      <c r="O135" s="194"/>
      <c r="P135" s="194"/>
      <c r="Q135" s="194"/>
      <c r="R135" s="194"/>
    </row>
    <row r="136" spans="1:18" ht="14.25" customHeight="1" x14ac:dyDescent="0.25">
      <c r="A136" s="822">
        <f>C139</f>
        <v>0</v>
      </c>
      <c r="B136" s="753" t="s">
        <v>5243</v>
      </c>
      <c r="C136" s="112"/>
      <c r="D136" s="113"/>
      <c r="E136" s="114"/>
      <c r="F136" s="115"/>
      <c r="H136" s="262"/>
      <c r="I136" s="1343"/>
      <c r="J136" s="1344"/>
      <c r="K136" s="1344"/>
      <c r="L136" s="1344"/>
      <c r="M136" s="1344"/>
      <c r="N136" s="1345"/>
      <c r="O136" s="194"/>
      <c r="P136" s="194"/>
      <c r="Q136" s="194"/>
      <c r="R136" s="194"/>
    </row>
    <row r="137" spans="1:18" ht="30.75" customHeight="1" x14ac:dyDescent="0.25">
      <c r="A137" s="261"/>
      <c r="B137" s="490" t="s">
        <v>3948</v>
      </c>
      <c r="C137" s="1260" t="s">
        <v>4964</v>
      </c>
      <c r="D137" s="1260"/>
      <c r="E137" s="1260"/>
      <c r="F137" s="1261"/>
      <c r="H137"/>
      <c r="I137" s="1343"/>
      <c r="J137" s="1344"/>
      <c r="K137" s="1344"/>
      <c r="L137" s="1344"/>
      <c r="M137" s="1344"/>
      <c r="N137" s="1345"/>
      <c r="O137" s="194"/>
      <c r="P137" s="194"/>
      <c r="Q137" s="194"/>
      <c r="R137" s="194"/>
    </row>
    <row r="138" spans="1:18" ht="15" x14ac:dyDescent="0.25">
      <c r="A138" s="261"/>
      <c r="B138" s="37" t="s">
        <v>4437</v>
      </c>
      <c r="C138" s="821"/>
      <c r="D138" s="103"/>
      <c r="E138" s="26"/>
      <c r="H138" s="26"/>
      <c r="I138" s="1343"/>
      <c r="J138" s="1344"/>
      <c r="K138" s="1344"/>
      <c r="L138" s="1344"/>
      <c r="M138" s="1344"/>
      <c r="N138" s="1345"/>
      <c r="O138" s="194"/>
      <c r="P138" s="194"/>
      <c r="Q138" s="194"/>
      <c r="R138" s="194"/>
    </row>
    <row r="139" spans="1:18" ht="15" x14ac:dyDescent="0.25">
      <c r="A139" s="261"/>
      <c r="B139" s="37" t="s">
        <v>4656</v>
      </c>
      <c r="C139" s="783">
        <f>IF(C138= "3 or Higher",5,IF(C138="1",1,IF(C138="2",3,IF(C138="Free Ride Option 1",3,IF(C138="Free Ride Option 2",5,0)))))</f>
        <v>0</v>
      </c>
      <c r="D139" s="103"/>
      <c r="E139" s="26"/>
      <c r="H139" s="26"/>
      <c r="I139" s="1343"/>
      <c r="J139" s="1344"/>
      <c r="K139" s="1344"/>
      <c r="L139" s="1344"/>
      <c r="M139" s="1344"/>
      <c r="N139" s="1345"/>
      <c r="O139" s="194"/>
      <c r="P139" s="194"/>
      <c r="Q139" s="194"/>
      <c r="R139" s="194"/>
    </row>
    <row r="140" spans="1:18" ht="15.75" customHeight="1" x14ac:dyDescent="0.25">
      <c r="A140" s="261"/>
      <c r="B140" s="5"/>
      <c r="D140" s="26"/>
      <c r="E140" s="26"/>
      <c r="G140" s="26"/>
      <c r="H140" s="9" t="s">
        <v>4917</v>
      </c>
      <c r="I140" s="1343"/>
      <c r="J140" s="1344"/>
      <c r="K140" s="1344"/>
      <c r="L140" s="1344"/>
      <c r="M140" s="1344"/>
      <c r="N140" s="1345"/>
      <c r="O140" s="194"/>
      <c r="P140" s="194"/>
      <c r="Q140" s="194"/>
      <c r="R140" s="194"/>
    </row>
    <row r="141" spans="1:18" ht="14.25" customHeight="1" x14ac:dyDescent="0.25">
      <c r="A141" s="822">
        <f>C144</f>
        <v>0</v>
      </c>
      <c r="B141" s="111" t="s">
        <v>5244</v>
      </c>
      <c r="C141" s="112"/>
      <c r="D141" s="113"/>
      <c r="E141" s="114"/>
      <c r="F141" s="115"/>
      <c r="H141" s="262"/>
      <c r="I141" s="1343"/>
      <c r="J141" s="1344"/>
      <c r="K141" s="1344"/>
      <c r="L141" s="1344"/>
      <c r="M141" s="1344"/>
      <c r="N141" s="1345"/>
      <c r="O141" s="194"/>
      <c r="P141" s="194"/>
      <c r="Q141" s="194"/>
      <c r="R141" s="194"/>
    </row>
    <row r="142" spans="1:18" ht="14.25" customHeight="1" x14ac:dyDescent="0.25">
      <c r="A142" s="261"/>
      <c r="B142" s="491" t="s">
        <v>3948</v>
      </c>
      <c r="C142" s="117" t="s">
        <v>4425</v>
      </c>
      <c r="D142" s="118"/>
      <c r="E142" s="118"/>
      <c r="F142" s="119"/>
      <c r="H142"/>
      <c r="I142" s="1343"/>
      <c r="J142" s="1344"/>
      <c r="K142" s="1344"/>
      <c r="L142" s="1344"/>
      <c r="M142" s="1344"/>
      <c r="N142" s="1345"/>
      <c r="O142" s="194"/>
      <c r="P142" s="194"/>
      <c r="Q142" s="194"/>
      <c r="R142" s="194"/>
    </row>
    <row r="143" spans="1:18" ht="15" x14ac:dyDescent="0.25">
      <c r="A143" s="261"/>
      <c r="B143" s="37" t="s">
        <v>4426</v>
      </c>
      <c r="C143" s="105">
        <f>'Budget &amp; Costs'!E59</f>
        <v>0</v>
      </c>
      <c r="D143" s="103"/>
      <c r="E143" s="26"/>
      <c r="H143" s="26"/>
      <c r="I143" s="1343"/>
      <c r="J143" s="1344"/>
      <c r="K143" s="1344"/>
      <c r="L143" s="1344"/>
      <c r="M143" s="1344"/>
      <c r="N143" s="1345"/>
      <c r="O143" s="194"/>
      <c r="P143" s="194"/>
      <c r="Q143" s="194"/>
      <c r="R143" s="194"/>
    </row>
    <row r="144" spans="1:18" ht="15" x14ac:dyDescent="0.25">
      <c r="A144" s="261"/>
      <c r="B144" s="37" t="s">
        <v>4656</v>
      </c>
      <c r="C144" s="783">
        <f>IF(C143&gt;0.1499,5,0)</f>
        <v>0</v>
      </c>
      <c r="D144" s="103"/>
      <c r="E144" s="26"/>
      <c r="H144" s="26"/>
      <c r="I144" s="1343"/>
      <c r="J144" s="1344"/>
      <c r="K144" s="1344"/>
      <c r="L144" s="1344"/>
      <c r="M144" s="1344"/>
      <c r="N144" s="1345"/>
      <c r="O144" s="194"/>
      <c r="P144" s="194"/>
      <c r="Q144" s="194"/>
      <c r="R144" s="194"/>
    </row>
    <row r="145" spans="1:18" ht="14.25" customHeight="1" x14ac:dyDescent="0.25">
      <c r="A145" s="261"/>
      <c r="B145" s="5"/>
      <c r="D145" s="26"/>
      <c r="E145" s="26"/>
      <c r="H145" s="9" t="s">
        <v>4918</v>
      </c>
      <c r="I145" s="1343"/>
      <c r="J145" s="1344"/>
      <c r="K145" s="1344"/>
      <c r="L145" s="1344"/>
      <c r="M145" s="1344"/>
      <c r="N145" s="1345"/>
      <c r="O145" s="194"/>
      <c r="P145" s="194"/>
      <c r="Q145" s="194"/>
      <c r="R145" s="194"/>
    </row>
    <row r="146" spans="1:18" ht="14.25" customHeight="1" x14ac:dyDescent="0.25">
      <c r="A146" s="822">
        <f>C149</f>
        <v>0</v>
      </c>
      <c r="B146" s="753" t="s">
        <v>5248</v>
      </c>
      <c r="C146" s="112"/>
      <c r="D146" s="113"/>
      <c r="E146" s="114"/>
      <c r="F146" s="115"/>
      <c r="G146" s="26"/>
      <c r="H146" s="262"/>
      <c r="I146" s="1343"/>
      <c r="J146" s="1344"/>
      <c r="K146" s="1344"/>
      <c r="L146" s="1344"/>
      <c r="M146" s="1344"/>
      <c r="N146" s="1345"/>
      <c r="O146" s="194"/>
      <c r="P146" s="194"/>
      <c r="Q146" s="194"/>
      <c r="R146" s="194"/>
    </row>
    <row r="147" spans="1:18" ht="31.5" customHeight="1" x14ac:dyDescent="0.25">
      <c r="A147" s="261"/>
      <c r="B147" s="602" t="s">
        <v>3948</v>
      </c>
      <c r="C147" s="1390" t="s">
        <v>4965</v>
      </c>
      <c r="D147" s="1390"/>
      <c r="E147" s="1390"/>
      <c r="F147" s="1391"/>
      <c r="G147" s="26"/>
      <c r="H147" s="26"/>
      <c r="I147" s="1343"/>
      <c r="J147" s="1344"/>
      <c r="K147" s="1344"/>
      <c r="L147" s="1344"/>
      <c r="M147" s="1344"/>
      <c r="N147" s="1345"/>
      <c r="O147" s="194"/>
      <c r="P147" s="194"/>
      <c r="Q147" s="194"/>
      <c r="R147" s="194"/>
    </row>
    <row r="148" spans="1:18" ht="31.5" customHeight="1" x14ac:dyDescent="0.25">
      <c r="A148" s="261"/>
      <c r="B148" s="490"/>
      <c r="C148" s="1372" t="s">
        <v>4966</v>
      </c>
      <c r="D148" s="1372"/>
      <c r="E148" s="1372"/>
      <c r="F148" s="1373"/>
      <c r="G148" s="26"/>
      <c r="H148" s="26"/>
      <c r="I148" s="1343"/>
      <c r="J148" s="1344"/>
      <c r="K148" s="1344"/>
      <c r="L148" s="1344"/>
      <c r="M148" s="1344"/>
      <c r="N148" s="1345"/>
      <c r="O148" s="194"/>
      <c r="P148" s="194"/>
      <c r="Q148" s="194"/>
      <c r="R148" s="194"/>
    </row>
    <row r="149" spans="1:18" ht="14.25" customHeight="1" x14ac:dyDescent="0.2">
      <c r="A149" s="194"/>
      <c r="B149" s="37" t="s">
        <v>4656</v>
      </c>
      <c r="C149" s="263"/>
      <c r="D149" s="26"/>
      <c r="E149" s="26"/>
      <c r="F149" s="26"/>
      <c r="G149" s="26"/>
      <c r="H149" s="26"/>
      <c r="I149" s="1343"/>
      <c r="J149" s="1344"/>
      <c r="K149" s="1344"/>
      <c r="L149" s="1344"/>
      <c r="M149" s="1344"/>
      <c r="N149" s="1345"/>
      <c r="O149" s="194"/>
      <c r="P149" s="194"/>
      <c r="Q149" s="194"/>
      <c r="R149" s="194"/>
    </row>
    <row r="150" spans="1:18" ht="14.25" customHeight="1" x14ac:dyDescent="0.2">
      <c r="A150" s="194"/>
      <c r="B150" s="5"/>
      <c r="C150"/>
      <c r="D150" s="26"/>
      <c r="E150" s="26"/>
      <c r="F150" s="26"/>
      <c r="G150" s="26"/>
      <c r="H150" s="26"/>
      <c r="I150" s="1343"/>
      <c r="J150" s="1344"/>
      <c r="K150" s="1344"/>
      <c r="L150" s="1344"/>
      <c r="M150" s="1344"/>
      <c r="N150" s="1345"/>
      <c r="O150" s="194"/>
      <c r="P150" s="194"/>
      <c r="Q150" s="194"/>
      <c r="R150" s="194"/>
    </row>
    <row r="151" spans="1:18" ht="14.25" customHeight="1" x14ac:dyDescent="0.25">
      <c r="A151" s="194"/>
      <c r="B151" s="9" t="s">
        <v>4430</v>
      </c>
      <c r="C151" s="9" t="s">
        <v>4431</v>
      </c>
      <c r="D151" s="9" t="s">
        <v>3061</v>
      </c>
      <c r="E151" s="9" t="s">
        <v>4432</v>
      </c>
      <c r="F151" s="826" t="s">
        <v>4656</v>
      </c>
      <c r="G151" s="26"/>
      <c r="H151" s="26"/>
      <c r="I151" s="1343"/>
      <c r="J151" s="1344"/>
      <c r="K151" s="1344"/>
      <c r="L151" s="1344"/>
      <c r="M151" s="1344"/>
      <c r="N151" s="1345"/>
      <c r="O151" s="194"/>
      <c r="P151" s="194"/>
      <c r="Q151" s="194"/>
      <c r="R151" s="194"/>
    </row>
    <row r="152" spans="1:18" ht="14.25" customHeight="1" x14ac:dyDescent="0.2">
      <c r="A152" s="194"/>
      <c r="B152" s="1025" t="s">
        <v>4433</v>
      </c>
      <c r="C152" s="503"/>
      <c r="D152" s="503"/>
      <c r="E152" s="503"/>
      <c r="F152" s="844">
        <v>3</v>
      </c>
      <c r="G152" s="26"/>
      <c r="H152" s="26"/>
      <c r="I152" s="1343"/>
      <c r="J152" s="1344"/>
      <c r="K152" s="1344"/>
      <c r="L152" s="1344"/>
      <c r="M152" s="1344"/>
      <c r="N152" s="1345"/>
      <c r="O152" s="194"/>
      <c r="P152" s="194"/>
      <c r="Q152" s="194"/>
      <c r="R152" s="194"/>
    </row>
    <row r="153" spans="1:18" ht="14.25" customHeight="1" x14ac:dyDescent="0.2">
      <c r="A153" s="194"/>
      <c r="B153" s="1025" t="s">
        <v>5245</v>
      </c>
      <c r="C153" s="503"/>
      <c r="D153" s="503"/>
      <c r="E153" s="503"/>
      <c r="F153" s="844">
        <v>2</v>
      </c>
      <c r="G153" s="26"/>
      <c r="H153" s="26"/>
      <c r="I153" s="1343"/>
      <c r="J153" s="1344"/>
      <c r="K153" s="1344"/>
      <c r="L153" s="1344"/>
      <c r="M153" s="1344"/>
      <c r="N153" s="1345"/>
      <c r="O153" s="194"/>
      <c r="P153" s="194"/>
      <c r="Q153" s="194"/>
      <c r="R153" s="194"/>
    </row>
    <row r="154" spans="1:18" ht="14.25" customHeight="1" x14ac:dyDescent="0.2">
      <c r="A154" s="194"/>
      <c r="B154" s="1025" t="s">
        <v>5246</v>
      </c>
      <c r="C154" s="503"/>
      <c r="D154" s="503"/>
      <c r="E154" s="503"/>
      <c r="F154" s="844">
        <v>1</v>
      </c>
      <c r="G154" s="26"/>
      <c r="H154" s="26"/>
      <c r="I154" s="1343"/>
      <c r="J154" s="1344"/>
      <c r="K154" s="1344"/>
      <c r="L154" s="1344"/>
      <c r="M154" s="1344"/>
      <c r="N154" s="1345"/>
      <c r="O154" s="194"/>
      <c r="P154" s="194"/>
      <c r="Q154" s="194"/>
      <c r="R154" s="194"/>
    </row>
    <row r="155" spans="1:18" ht="14.25" customHeight="1" x14ac:dyDescent="0.2">
      <c r="A155" s="194"/>
      <c r="B155" s="1025" t="s">
        <v>4434</v>
      </c>
      <c r="C155" s="503"/>
      <c r="D155" s="503"/>
      <c r="E155" s="503"/>
      <c r="F155" s="844">
        <v>1</v>
      </c>
      <c r="G155" s="26"/>
      <c r="H155" s="26"/>
      <c r="I155" s="1343"/>
      <c r="J155" s="1344"/>
      <c r="K155" s="1344"/>
      <c r="L155" s="1344"/>
      <c r="M155" s="1344"/>
      <c r="N155" s="1345"/>
      <c r="O155" s="194"/>
      <c r="P155" s="194"/>
      <c r="Q155" s="194"/>
      <c r="R155" s="194"/>
    </row>
    <row r="156" spans="1:18" ht="14.25" customHeight="1" x14ac:dyDescent="0.2">
      <c r="A156" s="194"/>
      <c r="B156" s="1025" t="s">
        <v>4435</v>
      </c>
      <c r="C156" s="503"/>
      <c r="D156" s="503"/>
      <c r="E156" s="503"/>
      <c r="F156" s="844">
        <v>1</v>
      </c>
      <c r="G156" s="26"/>
      <c r="H156" s="26"/>
      <c r="I156" s="1343"/>
      <c r="J156" s="1344"/>
      <c r="K156" s="1344"/>
      <c r="L156" s="1344"/>
      <c r="M156" s="1344"/>
      <c r="N156" s="1345"/>
      <c r="O156" s="194"/>
      <c r="P156" s="194"/>
      <c r="Q156" s="194"/>
      <c r="R156" s="194"/>
    </row>
    <row r="157" spans="1:18" ht="14.25" customHeight="1" x14ac:dyDescent="0.2">
      <c r="A157" s="194"/>
      <c r="B157" s="1025" t="s">
        <v>4436</v>
      </c>
      <c r="C157" s="503"/>
      <c r="D157" s="503"/>
      <c r="E157" s="503"/>
      <c r="F157" s="844">
        <v>1</v>
      </c>
      <c r="G157" s="26"/>
      <c r="H157" s="26"/>
      <c r="I157" s="1343"/>
      <c r="J157" s="1344"/>
      <c r="K157" s="1344"/>
      <c r="L157" s="1344"/>
      <c r="M157" s="1344"/>
      <c r="N157" s="1345"/>
      <c r="O157" s="194"/>
      <c r="P157" s="194"/>
      <c r="Q157" s="194"/>
      <c r="R157" s="194"/>
    </row>
    <row r="158" spans="1:18" ht="14.25" customHeight="1" x14ac:dyDescent="0.2">
      <c r="A158" s="194"/>
      <c r="B158" s="1025" t="s">
        <v>5247</v>
      </c>
      <c r="C158" s="503"/>
      <c r="D158" s="503"/>
      <c r="E158" s="503"/>
      <c r="F158" s="844">
        <v>1</v>
      </c>
      <c r="G158" s="26"/>
      <c r="H158" s="26" t="s">
        <v>5267</v>
      </c>
      <c r="I158" s="1343"/>
      <c r="J158" s="1344"/>
      <c r="K158" s="1344"/>
      <c r="L158" s="1344"/>
      <c r="M158" s="1344"/>
      <c r="N158" s="1345"/>
      <c r="O158" s="194"/>
      <c r="P158" s="194"/>
      <c r="Q158" s="194"/>
      <c r="R158" s="194"/>
    </row>
    <row r="159" spans="1:18" ht="14.25" customHeight="1" x14ac:dyDescent="0.25">
      <c r="A159" s="979">
        <f>F159</f>
        <v>0</v>
      </c>
      <c r="B159" s="1025" t="s">
        <v>5262</v>
      </c>
      <c r="C159" s="503"/>
      <c r="D159" s="503"/>
      <c r="E159" s="503"/>
      <c r="F159" s="1032">
        <v>0</v>
      </c>
      <c r="G159" s="26"/>
      <c r="H159" s="984"/>
      <c r="I159" s="1343"/>
      <c r="J159" s="1344"/>
      <c r="K159" s="1344"/>
      <c r="L159" s="1344"/>
      <c r="M159" s="1344"/>
      <c r="N159" s="1345"/>
      <c r="O159" s="194"/>
      <c r="P159" s="194"/>
      <c r="Q159" s="194"/>
      <c r="R159" s="194"/>
    </row>
    <row r="160" spans="1:18" ht="14.25" customHeight="1" x14ac:dyDescent="0.2">
      <c r="A160" s="194"/>
      <c r="B160" s="26"/>
      <c r="C160" s="26"/>
      <c r="D160" s="26"/>
      <c r="E160" s="26"/>
      <c r="F160" s="26"/>
      <c r="G160" s="26"/>
      <c r="H160" s="9" t="s">
        <v>4919</v>
      </c>
      <c r="I160" s="1343"/>
      <c r="J160" s="1344"/>
      <c r="K160" s="1344"/>
      <c r="L160" s="1344"/>
      <c r="M160" s="1344"/>
      <c r="N160" s="1345"/>
      <c r="O160" s="194"/>
      <c r="P160" s="194"/>
      <c r="Q160" s="194"/>
      <c r="R160" s="194"/>
    </row>
    <row r="161" spans="1:18" ht="14.25" customHeight="1" x14ac:dyDescent="0.25">
      <c r="A161" s="822">
        <f>C165</f>
        <v>0</v>
      </c>
      <c r="B161" s="753" t="s">
        <v>5249</v>
      </c>
      <c r="C161" s="112"/>
      <c r="D161" s="113"/>
      <c r="E161" s="114"/>
      <c r="F161" s="115"/>
      <c r="H161" s="262"/>
      <c r="I161" s="1343"/>
      <c r="J161" s="1344"/>
      <c r="K161" s="1344"/>
      <c r="L161" s="1344"/>
      <c r="M161" s="1344"/>
      <c r="N161" s="1345"/>
      <c r="O161" s="194"/>
      <c r="P161" s="194"/>
      <c r="Q161" s="194"/>
      <c r="R161" s="194"/>
    </row>
    <row r="162" spans="1:18" ht="14.25" customHeight="1" x14ac:dyDescent="0.25">
      <c r="A162" s="261"/>
      <c r="B162" s="492" t="s">
        <v>3948</v>
      </c>
      <c r="C162" s="1338" t="s">
        <v>4967</v>
      </c>
      <c r="D162" s="1338"/>
      <c r="E162" s="1338"/>
      <c r="F162" s="1339"/>
      <c r="H162" s="26"/>
      <c r="I162" s="1343"/>
      <c r="J162" s="1344"/>
      <c r="K162" s="1344"/>
      <c r="L162" s="1344"/>
      <c r="M162" s="1344"/>
      <c r="N162" s="1345"/>
      <c r="O162" s="194"/>
      <c r="P162" s="194"/>
      <c r="Q162" s="194"/>
      <c r="R162" s="194"/>
    </row>
    <row r="163" spans="1:18" ht="14.25" customHeight="1" x14ac:dyDescent="0.25">
      <c r="A163" s="261"/>
      <c r="B163" s="491"/>
      <c r="C163" s="1372"/>
      <c r="D163" s="1372"/>
      <c r="E163" s="1372"/>
      <c r="F163" s="1373"/>
      <c r="H163" s="26"/>
      <c r="I163" s="1343"/>
      <c r="J163" s="1344"/>
      <c r="K163" s="1344"/>
      <c r="L163" s="1344"/>
      <c r="M163" s="1344"/>
      <c r="N163" s="1345"/>
      <c r="O163" s="194"/>
      <c r="P163" s="194"/>
      <c r="Q163" s="194"/>
      <c r="R163" s="194"/>
    </row>
    <row r="164" spans="1:18" ht="14.25" customHeight="1" x14ac:dyDescent="0.25">
      <c r="A164" s="261"/>
      <c r="B164" s="37" t="s">
        <v>4429</v>
      </c>
      <c r="C164" s="263"/>
      <c r="D164" s="26"/>
      <c r="E164" s="26"/>
      <c r="H164" s="26"/>
      <c r="I164" s="1343"/>
      <c r="J164" s="1344"/>
      <c r="K164" s="1344"/>
      <c r="L164" s="1344"/>
      <c r="M164" s="1344"/>
      <c r="N164" s="1345"/>
      <c r="O164" s="194"/>
      <c r="P164" s="194"/>
      <c r="Q164" s="194"/>
      <c r="R164" s="194"/>
    </row>
    <row r="165" spans="1:18" ht="14.25" customHeight="1" x14ac:dyDescent="0.25">
      <c r="A165" s="261"/>
      <c r="B165" s="37" t="s">
        <v>4656</v>
      </c>
      <c r="C165" s="783">
        <f>IF(C164="15% and below",3,IF(C164="10% and below",5,0))</f>
        <v>0</v>
      </c>
      <c r="D165" s="26"/>
      <c r="E165" s="26"/>
      <c r="H165" s="26"/>
      <c r="I165" s="1343"/>
      <c r="J165" s="1344"/>
      <c r="K165" s="1344"/>
      <c r="L165" s="1344"/>
      <c r="M165" s="1344"/>
      <c r="N165" s="1345"/>
      <c r="O165" s="194"/>
      <c r="P165" s="194"/>
      <c r="Q165" s="194"/>
      <c r="R165" s="194"/>
    </row>
    <row r="166" spans="1:18" ht="14.25" customHeight="1" x14ac:dyDescent="0.25">
      <c r="A166" s="261"/>
      <c r="B166" s="5"/>
      <c r="D166" s="26"/>
      <c r="E166" s="26"/>
      <c r="H166" s="9" t="s">
        <v>4920</v>
      </c>
      <c r="I166" s="1343"/>
      <c r="J166" s="1344"/>
      <c r="K166" s="1344"/>
      <c r="L166" s="1344"/>
      <c r="M166" s="1344"/>
      <c r="N166" s="1345"/>
      <c r="O166" s="194"/>
      <c r="P166" s="194"/>
      <c r="Q166" s="194"/>
      <c r="R166" s="194"/>
    </row>
    <row r="167" spans="1:18" ht="14.25" customHeight="1" x14ac:dyDescent="0.25">
      <c r="A167" s="822">
        <f>MAX(C171,C174)</f>
        <v>0</v>
      </c>
      <c r="B167" s="111" t="s">
        <v>5254</v>
      </c>
      <c r="C167" s="112"/>
      <c r="D167" s="113"/>
      <c r="E167" s="114"/>
      <c r="F167" s="115"/>
      <c r="H167" s="262"/>
      <c r="I167" s="1343"/>
      <c r="J167" s="1344"/>
      <c r="K167" s="1344"/>
      <c r="L167" s="1344"/>
      <c r="M167" s="1344"/>
      <c r="N167" s="1345"/>
      <c r="O167" s="194"/>
      <c r="P167" s="194"/>
      <c r="Q167" s="194"/>
      <c r="R167" s="194"/>
    </row>
    <row r="168" spans="1:18" ht="14.25" customHeight="1" x14ac:dyDescent="0.25">
      <c r="A168" s="261"/>
      <c r="B168" s="492" t="s">
        <v>3948</v>
      </c>
      <c r="C168" s="1392" t="s">
        <v>4439</v>
      </c>
      <c r="D168" s="1392"/>
      <c r="E168" s="1392"/>
      <c r="F168" s="1393"/>
      <c r="H168" s="26"/>
      <c r="I168" s="1343"/>
      <c r="J168" s="1344"/>
      <c r="K168" s="1344"/>
      <c r="L168" s="1344"/>
      <c r="M168" s="1344"/>
      <c r="N168" s="1345"/>
      <c r="O168" s="194"/>
      <c r="P168" s="194"/>
      <c r="Q168" s="194"/>
      <c r="R168" s="194"/>
    </row>
    <row r="169" spans="1:18" ht="30" customHeight="1" x14ac:dyDescent="0.25">
      <c r="A169" s="261"/>
      <c r="B169" s="116"/>
      <c r="C169" s="1260" t="s">
        <v>4968</v>
      </c>
      <c r="D169" s="1260"/>
      <c r="E169" s="1260"/>
      <c r="F169" s="1261"/>
      <c r="H169" s="26"/>
      <c r="I169" s="1343"/>
      <c r="J169" s="1344"/>
      <c r="K169" s="1344"/>
      <c r="L169" s="1344"/>
      <c r="M169" s="1344"/>
      <c r="N169" s="1345"/>
      <c r="O169" s="194"/>
      <c r="P169" s="194"/>
      <c r="Q169" s="194"/>
      <c r="R169" s="194"/>
    </row>
    <row r="170" spans="1:18" ht="14.25" customHeight="1" x14ac:dyDescent="0.25">
      <c r="A170" s="261"/>
      <c r="B170" s="37" t="s">
        <v>3937</v>
      </c>
      <c r="C170" s="190"/>
      <c r="D170" s="26"/>
      <c r="E170" s="26"/>
      <c r="H170" s="26"/>
      <c r="I170" s="1343"/>
      <c r="J170" s="1344"/>
      <c r="K170" s="1344"/>
      <c r="L170" s="1344"/>
      <c r="M170" s="1344"/>
      <c r="N170" s="1345"/>
      <c r="O170" s="194"/>
      <c r="P170" s="194"/>
      <c r="Q170" s="194"/>
      <c r="R170" s="194"/>
    </row>
    <row r="171" spans="1:18" ht="14.25" customHeight="1" x14ac:dyDescent="0.25">
      <c r="A171" s="261"/>
      <c r="B171" s="37" t="s">
        <v>4656</v>
      </c>
      <c r="C171" s="783">
        <f>IF(C170="3000-3999 jobs",3,IF(C170="4000-4999 jobs",4,IF(C170="5000 or more jobs",5,0)))</f>
        <v>0</v>
      </c>
      <c r="D171" s="26"/>
      <c r="E171" s="26"/>
      <c r="H171" s="26"/>
      <c r="I171" s="1343"/>
      <c r="J171" s="1344"/>
      <c r="K171" s="1344"/>
      <c r="L171" s="1344"/>
      <c r="M171" s="1344"/>
      <c r="N171" s="1345"/>
      <c r="O171" s="194"/>
      <c r="P171" s="194"/>
      <c r="Q171" s="194"/>
      <c r="R171" s="194"/>
    </row>
    <row r="172" spans="1:18" ht="14.25" customHeight="1" x14ac:dyDescent="0.25">
      <c r="A172" s="261"/>
      <c r="B172" s="37" t="s">
        <v>4427</v>
      </c>
      <c r="E172" s="26"/>
      <c r="H172"/>
      <c r="I172" s="1343"/>
      <c r="J172" s="1344"/>
      <c r="K172" s="1344"/>
      <c r="L172" s="1344"/>
      <c r="M172" s="1344"/>
      <c r="N172" s="1345"/>
      <c r="O172" s="194"/>
      <c r="P172" s="194"/>
      <c r="Q172" s="194"/>
      <c r="R172" s="194"/>
    </row>
    <row r="173" spans="1:18" ht="14.25" customHeight="1" x14ac:dyDescent="0.25">
      <c r="A173" s="261"/>
      <c r="B173" s="37" t="s">
        <v>4428</v>
      </c>
      <c r="C173" s="190"/>
      <c r="E173" s="26"/>
      <c r="H173" s="26"/>
      <c r="I173" s="1343"/>
      <c r="J173" s="1344"/>
      <c r="K173" s="1344"/>
      <c r="L173" s="1344"/>
      <c r="M173" s="1344"/>
      <c r="N173" s="1345"/>
      <c r="O173" s="194"/>
      <c r="P173" s="194"/>
      <c r="Q173" s="194"/>
      <c r="R173" s="194"/>
    </row>
    <row r="174" spans="1:18" ht="14.25" customHeight="1" x14ac:dyDescent="0.25">
      <c r="A174" s="261"/>
      <c r="B174" s="37" t="s">
        <v>4656</v>
      </c>
      <c r="C174" s="783">
        <f>IF(C173="0.5-0.99",3,IF(C173="1.0-1.5",4,IF(C173="Greater than 1.5",5,0)))</f>
        <v>0</v>
      </c>
      <c r="E174" s="26"/>
      <c r="H174" s="26"/>
      <c r="I174" s="1343"/>
      <c r="J174" s="1344"/>
      <c r="K174" s="1344"/>
      <c r="L174" s="1344"/>
      <c r="M174" s="1344"/>
      <c r="N174" s="1345"/>
      <c r="O174" s="194"/>
      <c r="P174" s="194"/>
      <c r="Q174" s="194"/>
      <c r="R174" s="194"/>
    </row>
    <row r="175" spans="1:18" ht="14.25" customHeight="1" x14ac:dyDescent="0.25">
      <c r="A175" s="261"/>
      <c r="B175" s="5"/>
      <c r="D175" s="26"/>
      <c r="E175" s="26"/>
      <c r="H175" s="26" t="s">
        <v>4970</v>
      </c>
      <c r="I175" s="1343"/>
      <c r="J175" s="1344"/>
      <c r="K175" s="1344"/>
      <c r="L175" s="1344"/>
      <c r="M175" s="1344"/>
      <c r="N175" s="1345"/>
      <c r="O175" s="194"/>
      <c r="P175" s="194"/>
      <c r="Q175" s="194"/>
      <c r="R175" s="194"/>
    </row>
    <row r="176" spans="1:18" ht="14.25" customHeight="1" x14ac:dyDescent="0.25">
      <c r="A176" s="822">
        <f>C183</f>
        <v>0</v>
      </c>
      <c r="B176" s="969" t="s">
        <v>5257</v>
      </c>
      <c r="C176" s="970"/>
      <c r="D176" s="971"/>
      <c r="E176" s="972"/>
      <c r="F176" s="973"/>
      <c r="H176" s="262"/>
      <c r="I176" s="1343"/>
      <c r="J176" s="1344"/>
      <c r="K176" s="1344"/>
      <c r="L176" s="1344"/>
      <c r="M176" s="1344"/>
      <c r="N176" s="1345"/>
      <c r="O176" s="194"/>
      <c r="P176" s="194"/>
      <c r="Q176" s="194"/>
      <c r="R176" s="194"/>
    </row>
    <row r="177" spans="1:18" ht="14.25" customHeight="1" x14ac:dyDescent="0.25">
      <c r="A177" s="967"/>
      <c r="B177" s="974" t="s">
        <v>3948</v>
      </c>
      <c r="C177" s="1386" t="s">
        <v>5256</v>
      </c>
      <c r="D177" s="1386"/>
      <c r="E177" s="1386"/>
      <c r="F177" s="1387"/>
      <c r="H177" s="26"/>
      <c r="I177" s="1343"/>
      <c r="J177" s="1344"/>
      <c r="K177" s="1344"/>
      <c r="L177" s="1344"/>
      <c r="M177" s="1344"/>
      <c r="N177" s="1345"/>
      <c r="O177" s="194"/>
      <c r="P177" s="194"/>
      <c r="Q177" s="194"/>
      <c r="R177" s="194"/>
    </row>
    <row r="178" spans="1:18" ht="56.25" customHeight="1" x14ac:dyDescent="0.25">
      <c r="A178" s="967"/>
      <c r="B178" s="974"/>
      <c r="C178" s="1386"/>
      <c r="D178" s="1386"/>
      <c r="E178" s="1386"/>
      <c r="F178" s="1387"/>
      <c r="H178" s="26"/>
      <c r="I178" s="1343"/>
      <c r="J178" s="1344"/>
      <c r="K178" s="1344"/>
      <c r="L178" s="1344"/>
      <c r="M178" s="1344"/>
      <c r="N178" s="1345"/>
      <c r="O178" s="194"/>
      <c r="P178" s="194"/>
      <c r="Q178" s="194"/>
      <c r="R178" s="194"/>
    </row>
    <row r="179" spans="1:18" ht="33" customHeight="1" x14ac:dyDescent="0.25">
      <c r="A179" s="967"/>
      <c r="B179" s="975"/>
      <c r="C179" s="1388" t="s">
        <v>5258</v>
      </c>
      <c r="D179" s="1388"/>
      <c r="E179" s="1388"/>
      <c r="F179" s="1389"/>
      <c r="H179" s="26"/>
      <c r="I179" s="1343"/>
      <c r="J179" s="1344"/>
      <c r="K179" s="1344"/>
      <c r="L179" s="1344"/>
      <c r="M179" s="1344"/>
      <c r="N179" s="1345"/>
      <c r="O179" s="194"/>
      <c r="P179" s="194"/>
      <c r="Q179" s="194"/>
      <c r="R179" s="194"/>
    </row>
    <row r="180" spans="1:18" ht="14.25" customHeight="1" x14ac:dyDescent="0.25">
      <c r="A180" s="967"/>
      <c r="B180" s="501" t="s">
        <v>4619</v>
      </c>
      <c r="C180" s="976"/>
      <c r="D180" s="968"/>
      <c r="E180" s="968"/>
      <c r="F180"/>
      <c r="H180" s="26"/>
      <c r="I180" s="1343"/>
      <c r="J180" s="1344"/>
      <c r="K180" s="1344"/>
      <c r="L180" s="1344"/>
      <c r="M180" s="1344"/>
      <c r="N180" s="1345"/>
      <c r="O180" s="194"/>
      <c r="P180" s="194"/>
      <c r="Q180" s="194"/>
      <c r="R180" s="194"/>
    </row>
    <row r="181" spans="1:18" ht="14.25" customHeight="1" x14ac:dyDescent="0.25">
      <c r="A181" s="967"/>
      <c r="B181" s="501" t="s">
        <v>5255</v>
      </c>
      <c r="C181"/>
      <c r="D181" s="968"/>
      <c r="E181" s="968"/>
      <c r="F181"/>
      <c r="H181" s="26"/>
      <c r="I181" s="1343"/>
      <c r="J181" s="1344"/>
      <c r="K181" s="1344"/>
      <c r="L181" s="1344"/>
      <c r="M181" s="1344"/>
      <c r="N181" s="1345"/>
      <c r="O181" s="194"/>
      <c r="P181" s="194"/>
      <c r="Q181" s="194"/>
      <c r="R181" s="194"/>
    </row>
    <row r="182" spans="1:18" ht="14.25" customHeight="1" x14ac:dyDescent="0.25">
      <c r="A182" s="967"/>
      <c r="B182" s="501" t="s">
        <v>3901</v>
      </c>
      <c r="C182" s="978"/>
      <c r="D182" s="968"/>
      <c r="E182" s="968"/>
      <c r="F182"/>
      <c r="H182" s="26"/>
      <c r="I182" s="1343"/>
      <c r="J182" s="1344"/>
      <c r="K182" s="1344"/>
      <c r="L182" s="1344"/>
      <c r="M182" s="1344"/>
      <c r="N182" s="1345"/>
      <c r="O182" s="194"/>
      <c r="P182" s="194"/>
      <c r="Q182" s="194"/>
      <c r="R182" s="194"/>
    </row>
    <row r="183" spans="1:18" ht="14.25" customHeight="1" x14ac:dyDescent="0.25">
      <c r="A183" s="967"/>
      <c r="B183" s="501" t="s">
        <v>4656</v>
      </c>
      <c r="C183" s="977">
        <f>IF(C182="Yes",5,0)</f>
        <v>0</v>
      </c>
      <c r="D183" s="968"/>
      <c r="E183" s="968"/>
      <c r="F183"/>
      <c r="H183" s="26"/>
      <c r="I183" s="1343"/>
      <c r="J183" s="1344"/>
      <c r="K183" s="1344"/>
      <c r="L183" s="1344"/>
      <c r="M183" s="1344"/>
      <c r="N183" s="1345"/>
      <c r="O183" s="194"/>
      <c r="P183" s="194"/>
      <c r="Q183" s="194"/>
      <c r="R183" s="194"/>
    </row>
    <row r="184" spans="1:18" ht="14.25" customHeight="1" x14ac:dyDescent="0.25">
      <c r="A184" s="967"/>
      <c r="B184" s="333"/>
      <c r="C184" s="333"/>
      <c r="D184" s="968"/>
      <c r="E184" s="968"/>
      <c r="F184"/>
      <c r="H184" s="26" t="s">
        <v>5259</v>
      </c>
      <c r="I184" s="1343"/>
      <c r="J184" s="1344"/>
      <c r="K184" s="1344"/>
      <c r="L184" s="1344"/>
      <c r="M184" s="1344"/>
      <c r="N184" s="1345"/>
      <c r="O184" s="194"/>
      <c r="P184" s="194"/>
      <c r="Q184" s="194"/>
      <c r="R184" s="194"/>
    </row>
    <row r="185" spans="1:18" ht="14.25" customHeight="1" x14ac:dyDescent="0.25">
      <c r="A185" s="822">
        <f>C189</f>
        <v>0</v>
      </c>
      <c r="B185" s="753" t="s">
        <v>5260</v>
      </c>
      <c r="C185" s="112"/>
      <c r="D185" s="113"/>
      <c r="E185" s="114"/>
      <c r="F185" s="115"/>
      <c r="H185" s="262"/>
      <c r="I185" s="1343"/>
      <c r="J185" s="1344"/>
      <c r="K185" s="1344"/>
      <c r="L185" s="1344"/>
      <c r="M185" s="1344"/>
      <c r="N185" s="1345"/>
      <c r="O185" s="194"/>
      <c r="P185" s="194"/>
      <c r="Q185" s="194"/>
      <c r="R185" s="194"/>
    </row>
    <row r="186" spans="1:18" ht="14.25" customHeight="1" x14ac:dyDescent="0.25">
      <c r="A186" s="261"/>
      <c r="B186" s="492" t="s">
        <v>3948</v>
      </c>
      <c r="C186" s="1338" t="s">
        <v>5261</v>
      </c>
      <c r="D186" s="1338"/>
      <c r="E186" s="1338"/>
      <c r="F186" s="1339"/>
      <c r="H186" s="26"/>
      <c r="I186" s="1343"/>
      <c r="J186" s="1344"/>
      <c r="K186" s="1344"/>
      <c r="L186" s="1344"/>
      <c r="M186" s="1344"/>
      <c r="N186" s="1345"/>
      <c r="O186" s="194"/>
      <c r="P186" s="194"/>
      <c r="Q186" s="194"/>
      <c r="R186" s="194"/>
    </row>
    <row r="187" spans="1:18" ht="14.25" customHeight="1" x14ac:dyDescent="0.25">
      <c r="A187" s="261"/>
      <c r="B187" s="491"/>
      <c r="C187" s="1372"/>
      <c r="D187" s="1372"/>
      <c r="E187" s="1372"/>
      <c r="F187" s="1373"/>
      <c r="H187" s="26"/>
      <c r="I187" s="1343"/>
      <c r="J187" s="1344"/>
      <c r="K187" s="1344"/>
      <c r="L187" s="1344"/>
      <c r="M187" s="1344"/>
      <c r="N187" s="1345"/>
      <c r="O187" s="194"/>
      <c r="P187" s="194"/>
      <c r="Q187" s="194"/>
      <c r="R187" s="194"/>
    </row>
    <row r="188" spans="1:18" ht="14.25" customHeight="1" x14ac:dyDescent="0.25">
      <c r="A188" s="261"/>
      <c r="B188" s="37" t="s">
        <v>2958</v>
      </c>
      <c r="C188" s="263"/>
      <c r="D188" s="26"/>
      <c r="E188" s="26"/>
      <c r="H188" s="26"/>
      <c r="I188" s="1343"/>
      <c r="J188" s="1344"/>
      <c r="K188" s="1344"/>
      <c r="L188" s="1344"/>
      <c r="M188" s="1344"/>
      <c r="N188" s="1345"/>
      <c r="O188" s="194"/>
      <c r="P188" s="194"/>
      <c r="Q188" s="194"/>
      <c r="R188" s="194"/>
    </row>
    <row r="189" spans="1:18" ht="14.25" customHeight="1" x14ac:dyDescent="0.25">
      <c r="A189" s="261"/>
      <c r="B189" s="37" t="s">
        <v>4656</v>
      </c>
      <c r="C189" s="783">
        <f>IF(C188="Very High",5,IF(C188="High",4,IF(C188="Moderate",3,IF(C188="Low",2,IF(C188="Very Low",1,0)))))</f>
        <v>0</v>
      </c>
      <c r="D189" s="26"/>
      <c r="E189" s="26"/>
      <c r="H189" s="26"/>
      <c r="I189" s="1343"/>
      <c r="J189" s="1344"/>
      <c r="K189" s="1344"/>
      <c r="L189" s="1344"/>
      <c r="M189" s="1344"/>
      <c r="N189" s="1345"/>
      <c r="O189" s="194"/>
      <c r="P189" s="194"/>
      <c r="Q189" s="194"/>
      <c r="R189" s="194"/>
    </row>
    <row r="190" spans="1:18" s="348" customFormat="1" ht="14.25" customHeight="1" x14ac:dyDescent="0.25">
      <c r="A190" s="967"/>
      <c r="B190" s="333"/>
      <c r="C190" s="333"/>
      <c r="D190" s="968"/>
      <c r="E190" s="968"/>
      <c r="F190"/>
      <c r="G190"/>
      <c r="H190" s="968" t="s">
        <v>5275</v>
      </c>
      <c r="I190" s="1343"/>
      <c r="J190" s="1344"/>
      <c r="K190" s="1344"/>
      <c r="L190" s="1344"/>
      <c r="M190" s="1344"/>
      <c r="N190" s="1345"/>
      <c r="O190" s="980"/>
      <c r="P190" s="980"/>
      <c r="Q190" s="980"/>
      <c r="R190" s="980"/>
    </row>
    <row r="191" spans="1:18" ht="14.25" customHeight="1" x14ac:dyDescent="0.25">
      <c r="A191" s="822">
        <f>IF(C196+C201&gt;5,5,SUM(C196+C201))</f>
        <v>0</v>
      </c>
      <c r="B191" s="981" t="s">
        <v>5268</v>
      </c>
      <c r="C191" s="112"/>
      <c r="D191" s="113"/>
      <c r="E191" s="114"/>
      <c r="F191" s="115"/>
      <c r="H191" s="262"/>
      <c r="I191" s="1343"/>
      <c r="J191" s="1344"/>
      <c r="K191" s="1344"/>
      <c r="L191" s="1344"/>
      <c r="M191" s="1344"/>
      <c r="N191" s="1345"/>
      <c r="O191" s="194"/>
      <c r="P191" s="194"/>
      <c r="Q191" s="194"/>
      <c r="R191" s="194"/>
    </row>
    <row r="192" spans="1:18" ht="14.25" customHeight="1" x14ac:dyDescent="0.25">
      <c r="A192" s="261"/>
      <c r="B192" s="492" t="s">
        <v>3948</v>
      </c>
      <c r="C192" s="1338" t="s">
        <v>5269</v>
      </c>
      <c r="D192" s="1338"/>
      <c r="E192" s="1338"/>
      <c r="F192" s="1339"/>
      <c r="H192" s="26"/>
      <c r="I192" s="1343"/>
      <c r="J192" s="1344"/>
      <c r="K192" s="1344"/>
      <c r="L192" s="1344"/>
      <c r="M192" s="1344"/>
      <c r="N192" s="1345"/>
      <c r="O192" s="194"/>
      <c r="P192" s="194"/>
      <c r="Q192" s="194"/>
      <c r="R192" s="194"/>
    </row>
    <row r="193" spans="1:18" ht="14.25" customHeight="1" x14ac:dyDescent="0.25">
      <c r="A193" s="261"/>
      <c r="B193" s="492"/>
      <c r="C193" s="1338"/>
      <c r="D193" s="1338"/>
      <c r="E193" s="1338"/>
      <c r="F193" s="1339"/>
      <c r="H193" s="26"/>
      <c r="I193" s="1343"/>
      <c r="J193" s="1344"/>
      <c r="K193" s="1344"/>
      <c r="L193" s="1344"/>
      <c r="M193" s="1344"/>
      <c r="N193" s="1345"/>
      <c r="O193" s="194"/>
      <c r="P193" s="194"/>
      <c r="Q193" s="194"/>
      <c r="R193" s="194"/>
    </row>
    <row r="194" spans="1:18" ht="45.75" customHeight="1" x14ac:dyDescent="0.25">
      <c r="A194" s="261"/>
      <c r="B194" s="491"/>
      <c r="C194" s="1260" t="s">
        <v>5270</v>
      </c>
      <c r="D194" s="1260"/>
      <c r="E194" s="1260"/>
      <c r="F194" s="1261"/>
      <c r="H194" s="26"/>
      <c r="I194" s="1343"/>
      <c r="J194" s="1344"/>
      <c r="K194" s="1344"/>
      <c r="L194" s="1344"/>
      <c r="M194" s="1344"/>
      <c r="N194" s="1345"/>
      <c r="O194" s="194"/>
      <c r="P194" s="194"/>
      <c r="Q194" s="194"/>
      <c r="R194" s="194"/>
    </row>
    <row r="195" spans="1:18" ht="14.25" customHeight="1" x14ac:dyDescent="0.25">
      <c r="A195" s="261"/>
      <c r="B195" s="37" t="s">
        <v>5271</v>
      </c>
      <c r="C195" s="263"/>
      <c r="D195" s="1020" t="s">
        <v>5272</v>
      </c>
      <c r="E195" s="26"/>
      <c r="H195" s="26"/>
      <c r="I195" s="1343"/>
      <c r="J195" s="1344"/>
      <c r="K195" s="1344"/>
      <c r="L195" s="1344"/>
      <c r="M195" s="1344"/>
      <c r="N195" s="1345"/>
      <c r="O195" s="194"/>
      <c r="P195" s="194"/>
      <c r="Q195" s="194"/>
      <c r="R195" s="194"/>
    </row>
    <row r="196" spans="1:18" ht="14.25" customHeight="1" x14ac:dyDescent="0.25">
      <c r="A196" s="261"/>
      <c r="B196" s="37" t="s">
        <v>4656</v>
      </c>
      <c r="C196" s="783">
        <f>IF(C195="General Partner Parent",5,IF(C195="3rd Party",5,0))</f>
        <v>0</v>
      </c>
      <c r="D196" s="26"/>
      <c r="E196" s="26"/>
      <c r="H196" s="26"/>
      <c r="I196" s="1343"/>
      <c r="J196" s="1344"/>
      <c r="K196" s="1344"/>
      <c r="L196" s="1344"/>
      <c r="M196" s="1344"/>
      <c r="N196" s="1345"/>
      <c r="O196" s="194"/>
      <c r="P196" s="194"/>
      <c r="Q196" s="194"/>
      <c r="R196" s="194"/>
    </row>
    <row r="197" spans="1:18" ht="14.25" customHeight="1" x14ac:dyDescent="0.25">
      <c r="A197" s="967"/>
      <c r="B197" s="501"/>
      <c r="C197" s="983"/>
      <c r="D197" s="968"/>
      <c r="E197" s="968"/>
      <c r="F197"/>
      <c r="G197"/>
      <c r="H197" s="26"/>
      <c r="I197" s="1343"/>
      <c r="J197" s="1344"/>
      <c r="K197" s="1344"/>
      <c r="L197" s="1344"/>
      <c r="M197" s="1344"/>
      <c r="N197" s="1345"/>
      <c r="O197" s="194"/>
      <c r="P197" s="194"/>
      <c r="Q197" s="194"/>
      <c r="R197" s="194"/>
    </row>
    <row r="198" spans="1:18" ht="14.25" customHeight="1" x14ac:dyDescent="0.25">
      <c r="A198" s="261"/>
      <c r="B198" s="501" t="s">
        <v>5273</v>
      </c>
      <c r="C198" s="263"/>
      <c r="D198" s="26"/>
      <c r="E198" s="26"/>
      <c r="H198" s="26"/>
      <c r="I198" s="1343"/>
      <c r="J198" s="1344"/>
      <c r="K198" s="1344"/>
      <c r="L198" s="1344"/>
      <c r="M198" s="1344"/>
      <c r="N198" s="1345"/>
      <c r="O198" s="194"/>
      <c r="P198" s="194"/>
      <c r="Q198" s="194"/>
      <c r="R198" s="194"/>
    </row>
    <row r="199" spans="1:18" ht="14.25" customHeight="1" x14ac:dyDescent="0.25">
      <c r="A199" s="261"/>
      <c r="B199" s="501" t="s">
        <v>5274</v>
      </c>
      <c r="C199" s="171"/>
      <c r="E199" s="26"/>
      <c r="H199" s="26"/>
      <c r="I199" s="1343"/>
      <c r="J199" s="1344"/>
      <c r="K199" s="1344"/>
      <c r="L199" s="1344"/>
      <c r="M199" s="1344"/>
      <c r="N199" s="1345"/>
      <c r="O199" s="194"/>
      <c r="P199" s="194"/>
      <c r="Q199" s="194"/>
      <c r="R199" s="194"/>
    </row>
    <row r="200" spans="1:18" ht="14.25" customHeight="1" x14ac:dyDescent="0.25">
      <c r="A200" s="261"/>
      <c r="B200" s="501" t="s">
        <v>4637</v>
      </c>
      <c r="C200" s="171"/>
      <c r="D200" s="5" t="s">
        <v>4636</v>
      </c>
      <c r="E200" s="26"/>
      <c r="H200" s="26"/>
      <c r="I200" s="1343"/>
      <c r="J200" s="1344"/>
      <c r="K200" s="1344"/>
      <c r="L200" s="1344"/>
      <c r="M200" s="1344"/>
      <c r="N200" s="1345"/>
      <c r="O200" s="194"/>
      <c r="P200" s="194"/>
      <c r="Q200" s="194"/>
      <c r="R200" s="194"/>
    </row>
    <row r="201" spans="1:18" ht="14.25" customHeight="1" thickBot="1" x14ac:dyDescent="0.3">
      <c r="A201" s="261"/>
      <c r="B201" s="37" t="s">
        <v>4867</v>
      </c>
      <c r="C201" s="775">
        <f>IF(C198="Yes",5,0)</f>
        <v>0</v>
      </c>
      <c r="D201" s="26"/>
      <c r="E201" s="26"/>
      <c r="H201" s="26"/>
      <c r="I201" s="1346"/>
      <c r="J201" s="1347"/>
      <c r="K201" s="1347"/>
      <c r="L201" s="1347"/>
      <c r="M201" s="1347"/>
      <c r="N201" s="1348"/>
      <c r="O201" s="194"/>
      <c r="P201" s="194"/>
      <c r="Q201" s="194"/>
      <c r="R201" s="194"/>
    </row>
    <row r="202" spans="1:18" ht="15.75" thickBot="1" x14ac:dyDescent="0.3">
      <c r="A202" s="261"/>
      <c r="B202" s="5"/>
      <c r="D202" s="26"/>
      <c r="E202" s="26"/>
      <c r="I202" s="134" t="s">
        <v>3985</v>
      </c>
      <c r="K202" s="817">
        <f>SUM(H134,H113,H103,H90,H72,H48,H21)</f>
        <v>0</v>
      </c>
    </row>
    <row r="203" spans="1:18" ht="27.75" customHeight="1" thickBot="1" x14ac:dyDescent="0.3">
      <c r="A203" s="474" t="s">
        <v>3902</v>
      </c>
      <c r="B203" s="108"/>
      <c r="C203" s="109"/>
      <c r="D203" s="109"/>
      <c r="E203" s="109"/>
      <c r="F203" s="107"/>
      <c r="I203" s="1350" t="s">
        <v>3905</v>
      </c>
      <c r="J203" s="1351"/>
      <c r="K203" s="1351"/>
      <c r="L203" s="1351"/>
      <c r="M203" s="1351"/>
      <c r="N203" s="1352"/>
    </row>
    <row r="204" spans="1:18" ht="15" x14ac:dyDescent="0.25">
      <c r="A204" s="96" t="s">
        <v>3958</v>
      </c>
      <c r="B204" s="5"/>
      <c r="C204" s="839">
        <f>SUM(F22,F49,F73,F91,F104,F114,F135)</f>
        <v>0</v>
      </c>
      <c r="H204" s="986"/>
      <c r="I204" s="1353"/>
      <c r="J204" s="1354"/>
      <c r="K204" s="1354"/>
      <c r="L204" s="1354"/>
      <c r="M204" s="1354"/>
      <c r="N204" s="1355"/>
    </row>
    <row r="205" spans="1:18" ht="15" x14ac:dyDescent="0.25">
      <c r="A205" s="96"/>
      <c r="B205" s="615" t="s">
        <v>4676</v>
      </c>
      <c r="C205" s="840" t="str">
        <f>IF(C204&lt;62.999,"Not eligible","Eligible")</f>
        <v>Not eligible</v>
      </c>
      <c r="H205" s="987"/>
      <c r="I205" s="1356"/>
      <c r="J205" s="1357"/>
      <c r="K205" s="1357"/>
      <c r="L205" s="1357"/>
      <c r="M205" s="1357"/>
      <c r="N205" s="1358"/>
    </row>
    <row r="206" spans="1:18" ht="15" x14ac:dyDescent="0.25">
      <c r="A206" s="96"/>
      <c r="B206" s="5"/>
      <c r="I206" s="1356"/>
      <c r="J206" s="1357"/>
      <c r="K206" s="1357"/>
      <c r="L206" s="1357"/>
      <c r="M206" s="1357"/>
      <c r="N206" s="1358"/>
    </row>
    <row r="207" spans="1:18" ht="15" x14ac:dyDescent="0.25">
      <c r="A207" s="96" t="s">
        <v>5277</v>
      </c>
      <c r="C207" s="11" t="s">
        <v>3125</v>
      </c>
      <c r="D207" s="11" t="s">
        <v>5278</v>
      </c>
      <c r="E207" s="988"/>
      <c r="I207" s="1356"/>
      <c r="J207" s="1357"/>
      <c r="K207" s="1357"/>
      <c r="L207" s="1357"/>
      <c r="M207" s="1357"/>
      <c r="N207" s="1358"/>
    </row>
    <row r="208" spans="1:18" x14ac:dyDescent="0.2">
      <c r="C208" s="1022">
        <f>'Project Details'!G11</f>
        <v>0</v>
      </c>
      <c r="D208" s="1023"/>
      <c r="E208" s="989"/>
      <c r="I208" s="1356"/>
      <c r="J208" s="1357"/>
      <c r="K208" s="1357"/>
      <c r="L208" s="1357"/>
      <c r="M208" s="1357"/>
      <c r="N208" s="1358"/>
    </row>
    <row r="209" spans="1:14" ht="15.75" thickBot="1" x14ac:dyDescent="0.3">
      <c r="B209" s="5"/>
      <c r="D209" s="40"/>
      <c r="I209" s="1359"/>
      <c r="J209" s="1360"/>
      <c r="K209" s="1360"/>
      <c r="L209" s="1360"/>
      <c r="M209" s="1360"/>
      <c r="N209" s="1361"/>
    </row>
    <row r="210" spans="1:14" ht="15" thickBot="1" x14ac:dyDescent="0.25">
      <c r="H210" s="9"/>
    </row>
    <row r="211" spans="1:14" ht="15.75" thickBot="1" x14ac:dyDescent="0.3">
      <c r="A211" s="96" t="s">
        <v>5279</v>
      </c>
      <c r="C211" s="1024"/>
      <c r="D211" s="97"/>
      <c r="H211" s="987"/>
      <c r="I211" s="1350" t="s">
        <v>3906</v>
      </c>
      <c r="J211" s="1351"/>
      <c r="K211" s="1351"/>
      <c r="L211" s="1351"/>
      <c r="M211" s="1351"/>
      <c r="N211" s="1352"/>
    </row>
    <row r="212" spans="1:14" ht="15" x14ac:dyDescent="0.25">
      <c r="A212" s="96"/>
      <c r="B212" s="5"/>
      <c r="D212" s="97"/>
      <c r="I212" s="1353"/>
      <c r="J212" s="1354"/>
      <c r="K212" s="1354"/>
      <c r="L212" s="1354"/>
      <c r="M212" s="1354"/>
      <c r="N212" s="1355"/>
    </row>
    <row r="213" spans="1:14" ht="15" x14ac:dyDescent="0.25">
      <c r="A213" s="58"/>
      <c r="B213" s="501"/>
      <c r="C213" s="333"/>
      <c r="D213" s="97"/>
      <c r="I213" s="1356"/>
      <c r="J213" s="1357"/>
      <c r="K213" s="1357"/>
      <c r="L213" s="1357"/>
      <c r="M213" s="1357"/>
      <c r="N213" s="1358"/>
    </row>
    <row r="214" spans="1:14" ht="15" x14ac:dyDescent="0.25">
      <c r="A214" s="58"/>
      <c r="B214"/>
      <c r="C214"/>
      <c r="D214" s="97"/>
      <c r="I214" s="1356"/>
      <c r="J214" s="1357"/>
      <c r="K214" s="1357"/>
      <c r="L214" s="1357"/>
      <c r="M214" s="1357"/>
      <c r="N214" s="1358"/>
    </row>
    <row r="215" spans="1:14" ht="15" thickBot="1" x14ac:dyDescent="0.25">
      <c r="I215" s="1359"/>
      <c r="J215" s="1360"/>
      <c r="K215" s="1360"/>
      <c r="L215" s="1360"/>
      <c r="M215" s="1360"/>
      <c r="N215" s="1361"/>
    </row>
    <row r="216" spans="1:14" x14ac:dyDescent="0.2">
      <c r="H216" s="985"/>
    </row>
    <row r="217" spans="1:14" ht="15" x14ac:dyDescent="0.25">
      <c r="H217" s="967"/>
      <c r="I217" s="1362"/>
      <c r="J217" s="1362"/>
      <c r="K217" s="1362"/>
      <c r="L217" s="1362"/>
      <c r="M217" s="1362"/>
      <c r="N217" s="1362"/>
    </row>
    <row r="218" spans="1:14" x14ac:dyDescent="0.2">
      <c r="I218" s="1349"/>
      <c r="J218" s="1349"/>
      <c r="K218" s="1349"/>
      <c r="L218" s="1349"/>
      <c r="M218" s="1349"/>
      <c r="N218" s="1349"/>
    </row>
    <row r="219" spans="1:14" x14ac:dyDescent="0.2">
      <c r="I219" s="1349"/>
      <c r="J219" s="1349"/>
      <c r="K219" s="1349"/>
      <c r="L219" s="1349"/>
      <c r="M219" s="1349"/>
      <c r="N219" s="1349"/>
    </row>
    <row r="220" spans="1:14" x14ac:dyDescent="0.2">
      <c r="I220" s="1349"/>
      <c r="J220" s="1349"/>
      <c r="K220" s="1349"/>
      <c r="L220" s="1349"/>
      <c r="M220" s="1349"/>
      <c r="N220" s="1349"/>
    </row>
    <row r="221" spans="1:14" x14ac:dyDescent="0.2">
      <c r="I221" s="1349"/>
      <c r="J221" s="1349"/>
      <c r="K221" s="1349"/>
      <c r="L221" s="1349"/>
      <c r="M221" s="1349"/>
      <c r="N221" s="1349"/>
    </row>
  </sheetData>
  <sheetProtection algorithmName="SHA-512" hashValue="ybze/1F4u3RpixuDk9g50JE6WDvp8ndevvNW92idsbvQT3oEkb5no+P57s3ngtEbFcUS8ZtB/goPB+LZD+uyIw==" saltValue="NMBvaOizUN9UiMYBibK16Q==" spinCount="100000" sheet="1" objects="1" scenarios="1"/>
  <mergeCells count="72">
    <mergeCell ref="B14:F14"/>
    <mergeCell ref="A4:F4"/>
    <mergeCell ref="C5:D5"/>
    <mergeCell ref="C9:D9"/>
    <mergeCell ref="B12:F12"/>
    <mergeCell ref="D13:F13"/>
    <mergeCell ref="B16:F16"/>
    <mergeCell ref="D17:F17"/>
    <mergeCell ref="D18:F18"/>
    <mergeCell ref="I21:N21"/>
    <mergeCell ref="A22:C22"/>
    <mergeCell ref="I22:N41"/>
    <mergeCell ref="C24:F24"/>
    <mergeCell ref="C29:F29"/>
    <mergeCell ref="C35:F35"/>
    <mergeCell ref="I48:N48"/>
    <mergeCell ref="A49:C49"/>
    <mergeCell ref="I49:N70"/>
    <mergeCell ref="C55:F55"/>
    <mergeCell ref="C57:F57"/>
    <mergeCell ref="C59:F59"/>
    <mergeCell ref="C62:F62"/>
    <mergeCell ref="C63:D63"/>
    <mergeCell ref="C64:D64"/>
    <mergeCell ref="C65:D65"/>
    <mergeCell ref="C66:D66"/>
    <mergeCell ref="C67:D67"/>
    <mergeCell ref="C68:D68"/>
    <mergeCell ref="C69:D69"/>
    <mergeCell ref="I72:N72"/>
    <mergeCell ref="I90:N90"/>
    <mergeCell ref="A91:C91"/>
    <mergeCell ref="I91:N100"/>
    <mergeCell ref="I103:N103"/>
    <mergeCell ref="A73:C73"/>
    <mergeCell ref="I73:N88"/>
    <mergeCell ref="A104:C104"/>
    <mergeCell ref="I104:N110"/>
    <mergeCell ref="C106:F106"/>
    <mergeCell ref="I113:N113"/>
    <mergeCell ref="A114:C114"/>
    <mergeCell ref="I114:N132"/>
    <mergeCell ref="C116:F116"/>
    <mergeCell ref="B123:C123"/>
    <mergeCell ref="B124:C124"/>
    <mergeCell ref="B125:C125"/>
    <mergeCell ref="B126:C126"/>
    <mergeCell ref="B127:C127"/>
    <mergeCell ref="B128:C128"/>
    <mergeCell ref="C192:F193"/>
    <mergeCell ref="B129:C129"/>
    <mergeCell ref="B130:C130"/>
    <mergeCell ref="B131:C131"/>
    <mergeCell ref="I134:N134"/>
    <mergeCell ref="A135:C135"/>
    <mergeCell ref="I135:N201"/>
    <mergeCell ref="C137:F137"/>
    <mergeCell ref="C147:F147"/>
    <mergeCell ref="C148:F148"/>
    <mergeCell ref="C162:F163"/>
    <mergeCell ref="C168:F168"/>
    <mergeCell ref="C169:F169"/>
    <mergeCell ref="C177:F178"/>
    <mergeCell ref="C179:F179"/>
    <mergeCell ref="C186:F187"/>
    <mergeCell ref="I218:N221"/>
    <mergeCell ref="C194:F194"/>
    <mergeCell ref="I203:N203"/>
    <mergeCell ref="I204:N209"/>
    <mergeCell ref="I211:N211"/>
    <mergeCell ref="I212:N215"/>
    <mergeCell ref="I217:N217"/>
  </mergeCells>
  <conditionalFormatting sqref="A4:F4">
    <cfRule type="expression" dxfId="45" priority="15">
      <formula>$C$5&lt;&gt;$C$10</formula>
    </cfRule>
  </conditionalFormatting>
  <conditionalFormatting sqref="A5:F175 A202:F214">
    <cfRule type="expression" dxfId="44" priority="14">
      <formula>$C$5&lt;&gt;$C$10</formula>
    </cfRule>
  </conditionalFormatting>
  <conditionalFormatting sqref="G5:G6">
    <cfRule type="expression" dxfId="43" priority="13">
      <formula>IF(OR(F5="Low",F5="Very Low"),"Ineligible Tract","")</formula>
    </cfRule>
  </conditionalFormatting>
  <conditionalFormatting sqref="G7">
    <cfRule type="expression" dxfId="42" priority="12">
      <formula>IF(OR(AND(F5="Moderate",F7="Slight Decline"),AND(F5="Moderate",F7="Strong Decline")),"Ineliglble Tract","")</formula>
    </cfRule>
  </conditionalFormatting>
  <conditionalFormatting sqref="G8">
    <cfRule type="expression" dxfId="41" priority="11">
      <formula>IF(F8&gt;0.35,"No more than 35% of aff units may be one-bedroom and/or efficiencies""")</formula>
    </cfRule>
  </conditionalFormatting>
  <conditionalFormatting sqref="G9">
    <cfRule type="expression" dxfId="40" priority="10">
      <formula>IF(F9&lt;0.05,"5% of affordable units must be 3+ bedrooms and also be affordable to those earning 60% AMI or less","")</formula>
    </cfRule>
  </conditionalFormatting>
  <conditionalFormatting sqref="D17">
    <cfRule type="expression" dxfId="39" priority="5">
      <formula>$C$17="Very Low"</formula>
    </cfRule>
    <cfRule type="expression" dxfId="38" priority="9">
      <formula>C17="Low"</formula>
    </cfRule>
  </conditionalFormatting>
  <conditionalFormatting sqref="D18:D19">
    <cfRule type="expression" dxfId="37" priority="8">
      <formula>IF(OR(AND(C17="Moderate",C18="Slight Decline"),AND(C17="Moderate",C18="Strong Decline")),"Ineliglble Tract","")</formula>
    </cfRule>
  </conditionalFormatting>
  <conditionalFormatting sqref="D15">
    <cfRule type="expression" dxfId="36" priority="7">
      <formula>$C$15="Non-Urban"</formula>
    </cfRule>
  </conditionalFormatting>
  <conditionalFormatting sqref="D13">
    <cfRule type="expression" dxfId="35" priority="6">
      <formula>$C$13="Preserved Affordability"</formula>
    </cfRule>
  </conditionalFormatting>
  <conditionalFormatting sqref="A185:F190">
    <cfRule type="expression" dxfId="34" priority="3">
      <formula>$C$5&lt;&gt;$C$10</formula>
    </cfRule>
  </conditionalFormatting>
  <conditionalFormatting sqref="A191:F193 A195:F197 A194:C194 A201:F201">
    <cfRule type="expression" dxfId="33" priority="2">
      <formula>$C$5&lt;&gt;$C$10</formula>
    </cfRule>
  </conditionalFormatting>
  <conditionalFormatting sqref="A176:F184">
    <cfRule type="expression" dxfId="32" priority="4">
      <formula>#REF!&lt;&gt;#REF!</formula>
    </cfRule>
  </conditionalFormatting>
  <dataValidations count="25">
    <dataValidation type="list" allowBlank="1" showInputMessage="1" showErrorMessage="1" sqref="H97 H185" xr:uid="{00000000-0002-0000-1300-000000000000}">
      <formula1>"1,2,3,4,5"</formula1>
    </dataValidation>
    <dataValidation type="list" allowBlank="1" showInputMessage="1" showErrorMessage="1" sqref="H141" xr:uid="{00000000-0002-0000-1300-000001000000}">
      <formula1>"0,,5"</formula1>
    </dataValidation>
    <dataValidation type="list" allowBlank="1" showInputMessage="1" showErrorMessage="1" sqref="C195" xr:uid="{00000000-0002-0000-1300-000002000000}">
      <formula1>"General Partner Parent, 3rd Party, N/A"</formula1>
    </dataValidation>
    <dataValidation type="list" allowBlank="1" showInputMessage="1" showErrorMessage="1" sqref="C188" xr:uid="{00000000-0002-0000-1300-000003000000}">
      <formula1>"Very High, High, Moderate, Low, Very Low"</formula1>
    </dataValidation>
    <dataValidation type="list" allowBlank="1" showInputMessage="1" showErrorMessage="1" sqref="H115" xr:uid="{00000000-0002-0000-1300-000004000000}">
      <formula1>"15,10,5,0"</formula1>
    </dataValidation>
    <dataValidation type="list" allowBlank="1" showInputMessage="1" showErrorMessage="1" sqref="C118" xr:uid="{00000000-0002-0000-1300-000005000000}">
      <formula1>"15, 10, 5, 0"</formula1>
    </dataValidation>
    <dataValidation type="whole" allowBlank="1" showInputMessage="1" showErrorMessage="1" sqref="C101" xr:uid="{00000000-0002-0000-1300-000006000000}">
      <formula1>0</formula1>
      <formula2>5</formula2>
    </dataValidation>
    <dataValidation type="list" allowBlank="1" showInputMessage="1" showErrorMessage="1" sqref="C87" xr:uid="{00000000-0002-0000-1300-000007000000}">
      <formula1>"Yes, No"</formula1>
    </dataValidation>
    <dataValidation type="list" allowBlank="1" showInputMessage="1" showErrorMessage="1" sqref="H92" xr:uid="{00000000-0002-0000-1300-000008000000}">
      <formula1>"0,2,3,4,5"</formula1>
    </dataValidation>
    <dataValidation type="list" allowBlank="1" showInputMessage="1" showErrorMessage="1" sqref="H61" xr:uid="{00000000-0002-0000-1300-000009000000}">
      <formula1>"0,1,2,3,4,5"</formula1>
    </dataValidation>
    <dataValidation type="list" allowBlank="1" showInputMessage="1" showErrorMessage="1" sqref="C94" xr:uid="{00000000-0002-0000-1300-00000A000000}">
      <formula1>"30%-48%,&gt;48%-66%,Greater than 66%"</formula1>
    </dataValidation>
    <dataValidation type="list" allowBlank="1" showInputMessage="1" showErrorMessage="1" sqref="E123:E131" xr:uid="{00000000-0002-0000-1300-00000B000000}">
      <formula1>"Applied,Secured"</formula1>
    </dataValidation>
    <dataValidation type="list" allowBlank="1" showInputMessage="1" showErrorMessage="1" sqref="C37" xr:uid="{00000000-0002-0000-1300-00000C000000}">
      <formula1>"Owned,Developed,Sponsored"</formula1>
    </dataValidation>
    <dataValidation type="list" allowBlank="1" showInputMessage="1" showErrorMessage="1" sqref="C52" xr:uid="{00000000-0002-0000-1300-00000D000000}">
      <formula1>"Onsite fitness area, Onsite health/wellness clinic, Facility partnership, None"</formula1>
    </dataValidation>
    <dataValidation type="list" allowBlank="1" showInputMessage="1" showErrorMessage="1" sqref="C138" xr:uid="{00000000-0002-0000-1300-00000E000000}">
      <formula1>"1,2,3 or higher, Free Ride Option 1, Free Ride Option 2"</formula1>
    </dataValidation>
    <dataValidation type="list" allowBlank="1" showInputMessage="1" showErrorMessage="1" sqref="C164" xr:uid="{00000000-0002-0000-1300-00000F000000}">
      <formula1>"15% and below,10% and below"</formula1>
    </dataValidation>
    <dataValidation type="list" allowBlank="1" showInputMessage="1" showErrorMessage="1" sqref="C173" xr:uid="{00000000-0002-0000-1300-000010000000}">
      <formula1>"0.5-0.99,1.0-1.5,Greater than 1.5"</formula1>
    </dataValidation>
    <dataValidation type="list" allowBlank="1" showInputMessage="1" showErrorMessage="1" sqref="C170" xr:uid="{00000000-0002-0000-1300-000011000000}">
      <formula1>"3000-3999 jobs, 4000-4999 jobs, 5000 or more jobs"</formula1>
    </dataValidation>
    <dataValidation type="list" allowBlank="1" showInputMessage="1" showErrorMessage="1" sqref="H161" xr:uid="{00000000-0002-0000-1300-000012000000}">
      <formula1>"0,3,5"</formula1>
    </dataValidation>
    <dataValidation type="list" allowBlank="1" showInputMessage="1" showErrorMessage="1" sqref="H146 C149" xr:uid="{00000000-0002-0000-1300-000013000000}">
      <formula1>"0,1,2,3,4,5,6,7,8,9,10"</formula1>
    </dataValidation>
    <dataValidation type="list" allowBlank="1" showInputMessage="1" showErrorMessage="1" sqref="H167" xr:uid="{00000000-0002-0000-1300-000014000000}">
      <formula1>"0,3,4,5"</formula1>
    </dataValidation>
    <dataValidation type="list" allowBlank="1" showInputMessage="1" showErrorMessage="1" sqref="H136 C110 H105" xr:uid="{00000000-0002-0000-1300-000015000000}">
      <formula1>"0,1,3,5"</formula1>
    </dataValidation>
    <dataValidation type="list" allowBlank="1" showInputMessage="1" showErrorMessage="1" sqref="H50 H176 F159 H159 H191" xr:uid="{00000000-0002-0000-1300-000016000000}">
      <formula1>"0,5"</formula1>
    </dataValidation>
    <dataValidation type="list" allowBlank="1" showInputMessage="1" showErrorMessage="1" sqref="A23 A28 A34 A39 H28 H34 H39 H23 H74 H79 H84" xr:uid="{00000000-0002-0000-1300-000017000000}">
      <formula1>"0,10"</formula1>
    </dataValidation>
    <dataValidation type="list" allowBlank="1" showInputMessage="1" showErrorMessage="1" sqref="A16 C31 A14 A12 E63:E69 C182 C180 C198" xr:uid="{00000000-0002-0000-1300-000018000000}">
      <formula1>"Yes,No"</formula1>
    </dataValidation>
  </dataValidations>
  <hyperlinks>
    <hyperlink ref="B92" r:id="rId1" xr:uid="{00000000-0004-0000-1300-000000000000}"/>
    <hyperlink ref="B97" r:id="rId2" xr:uid="{00000000-0004-0000-1300-000001000000}"/>
    <hyperlink ref="B146" r:id="rId3" xr:uid="{00000000-0004-0000-1300-000002000000}"/>
    <hyperlink ref="B161" r:id="rId4" xr:uid="{00000000-0004-0000-1300-000003000000}"/>
    <hyperlink ref="B136" r:id="rId5" xr:uid="{00000000-0004-0000-1300-000004000000}"/>
    <hyperlink ref="B185" r:id="rId6" xr:uid="{00000000-0004-0000-1300-000005000000}"/>
  </hyperlinks>
  <pageMargins left="0.7" right="0.7" top="0.75" bottom="0.75" header="0.3" footer="0.3"/>
  <pageSetup scale="36" orientation="portrait" r:id="rId7"/>
  <drawing r:id="rId8"/>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1300-000019000000}">
          <x14:formula1>
            <xm:f>Data!$J$133:$J$143</xm:f>
          </x14:formula1>
          <xm:sqref>B123:C131</xm:sqref>
        </x14:dataValidation>
        <x14:dataValidation type="list" allowBlank="1" showInputMessage="1" showErrorMessage="1" xr:uid="{00000000-0002-0000-1300-00001A000000}">
          <x14:formula1>
            <xm:f>Data!$J$120:$J$124</xm:f>
          </x14:formula1>
          <xm:sqref>C100</xm:sqref>
        </x14:dataValidation>
        <x14:dataValidation type="list" allowBlank="1" showInputMessage="1" showErrorMessage="1" xr:uid="{00000000-0002-0000-1300-00001B000000}">
          <x14:formula1>
            <xm:f>Data!$J$90:$J$91</xm:f>
          </x14:formula1>
          <xm:sqref>E25</xm:sqref>
        </x14:dataValidation>
        <x14:dataValidation type="list" allowBlank="1" showInputMessage="1" showErrorMessage="1" xr:uid="{00000000-0002-0000-1300-00001C000000}">
          <x14:formula1>
            <xm:f>Data!$J$82:$J$93</xm:f>
          </x14:formula1>
          <xm:sqref>C36</xm:sqref>
        </x14:dataValidation>
        <x14:dataValidation type="list" allowBlank="1" showInputMessage="1" showErrorMessage="1" xr:uid="{00000000-0002-0000-1300-00001D000000}">
          <x14:formula1>
            <xm:f>Data!$J$86:$J$89</xm:f>
          </x14:formula1>
          <xm:sqref>C30 C25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sheetPr>
  <dimension ref="A1:R221"/>
  <sheetViews>
    <sheetView showGridLines="0" zoomScale="85" zoomScaleNormal="85" workbookViewId="0">
      <selection activeCell="D50" sqref="A1:XFD1048576"/>
    </sheetView>
  </sheetViews>
  <sheetFormatPr defaultColWidth="9" defaultRowHeight="14.25" x14ac:dyDescent="0.2"/>
  <cols>
    <col min="1" max="1" width="8.625" style="5" customWidth="1"/>
    <col min="2" max="2" width="32" style="37" customWidth="1"/>
    <col min="3" max="3" width="35.625" style="5" customWidth="1"/>
    <col min="4" max="4" width="42.5" style="5" customWidth="1"/>
    <col min="5" max="5" width="20.75" style="5" customWidth="1"/>
    <col min="6" max="6" width="24.125" style="5" customWidth="1"/>
    <col min="7" max="7" width="11.875" style="5" customWidth="1"/>
    <col min="8" max="8" width="11.125" style="5" hidden="1" customWidth="1"/>
    <col min="9" max="9" width="26.25" style="5" hidden="1" customWidth="1"/>
    <col min="10" max="14" width="7.875" style="5" hidden="1" customWidth="1"/>
    <col min="15" max="15" width="7.875" style="191" customWidth="1"/>
    <col min="16" max="17" width="9" style="191" customWidth="1"/>
    <col min="18" max="16384" width="9" style="191"/>
  </cols>
  <sheetData>
    <row r="1" spans="1:14" ht="54.95" customHeight="1" x14ac:dyDescent="0.2"/>
    <row r="2" spans="1:14" s="192" customFormat="1" ht="22.5" x14ac:dyDescent="0.3">
      <c r="A2" s="3" t="s">
        <v>6</v>
      </c>
      <c r="B2" s="94"/>
      <c r="C2" s="1"/>
      <c r="D2" s="1"/>
      <c r="E2" s="1"/>
      <c r="F2" s="1"/>
      <c r="G2" s="1"/>
      <c r="H2" s="1"/>
      <c r="I2" s="1"/>
      <c r="J2" s="1"/>
      <c r="K2" s="1"/>
      <c r="L2" s="1"/>
      <c r="M2" s="1"/>
      <c r="N2" s="1"/>
    </row>
    <row r="3" spans="1:14" s="193" customFormat="1" ht="15.75" x14ac:dyDescent="0.25">
      <c r="A3" s="146" t="str">
        <f>C5</f>
        <v>New Affordability- Rural</v>
      </c>
      <c r="B3" s="95"/>
      <c r="C3" s="39"/>
      <c r="D3" s="2"/>
      <c r="E3" s="2"/>
      <c r="F3" s="2"/>
      <c r="G3" s="2"/>
      <c r="H3" s="2"/>
      <c r="I3" s="2"/>
      <c r="J3" s="2"/>
      <c r="K3" s="2"/>
      <c r="L3" s="2"/>
      <c r="M3" s="2"/>
      <c r="N3" s="2"/>
    </row>
    <row r="4" spans="1:14" x14ac:dyDescent="0.2">
      <c r="A4" s="1371" t="str">
        <f>IF(C5&lt;&gt;C10,"THIS IS THE WRONG POOL WORKBOOK -- DO NOT USE THIS WORKBOOK OR CHANGE POOL ON PROJECT DETAILS TAB","")</f>
        <v>THIS IS THE WRONG POOL WORKBOOK -- DO NOT USE THIS WORKBOOK OR CHANGE POOL ON PROJECT DETAILS TAB</v>
      </c>
      <c r="B4" s="1371"/>
      <c r="C4" s="1371"/>
      <c r="D4" s="1371"/>
      <c r="E4" s="1371"/>
      <c r="F4" s="1371"/>
    </row>
    <row r="5" spans="1:14" ht="15" x14ac:dyDescent="0.25">
      <c r="B5" s="37" t="s">
        <v>3556</v>
      </c>
      <c r="C5" s="1366" t="s">
        <v>5191</v>
      </c>
      <c r="D5" s="1366"/>
      <c r="G5" s="752"/>
      <c r="H5" s="92"/>
    </row>
    <row r="6" spans="1:14" ht="15" x14ac:dyDescent="0.25">
      <c r="B6" s="37" t="s">
        <v>3110</v>
      </c>
      <c r="C6" s="952">
        <f>'Project Details'!C27</f>
        <v>0</v>
      </c>
      <c r="D6" s="951"/>
      <c r="G6" s="752"/>
      <c r="H6" s="92"/>
    </row>
    <row r="7" spans="1:14" x14ac:dyDescent="0.2">
      <c r="B7" s="37" t="s">
        <v>3903</v>
      </c>
      <c r="C7" s="836">
        <v>1000000</v>
      </c>
      <c r="G7" s="752"/>
    </row>
    <row r="8" spans="1:14" x14ac:dyDescent="0.2">
      <c r="B8" s="37" t="s">
        <v>3897</v>
      </c>
      <c r="C8" s="837">
        <f>'Housing Credits'!C43</f>
        <v>0</v>
      </c>
      <c r="D8" s="97" t="str">
        <f>IF(C8&gt;C7,"Credits Exceed Allowable Cap","")</f>
        <v/>
      </c>
      <c r="E8" s="37"/>
      <c r="G8" s="752"/>
    </row>
    <row r="9" spans="1:14" x14ac:dyDescent="0.2">
      <c r="B9" s="37" t="s">
        <v>3575</v>
      </c>
      <c r="C9" s="1379" t="str">
        <f>IF('Project Details'!C23="","[None Selected]",'Project Details'!C23)</f>
        <v>[None Selected]</v>
      </c>
      <c r="D9" s="1379"/>
      <c r="E9" s="37"/>
      <c r="G9" s="752"/>
    </row>
    <row r="10" spans="1:14" x14ac:dyDescent="0.2">
      <c r="B10" s="147"/>
      <c r="C10" s="148">
        <f>'Project Details'!C22</f>
        <v>0</v>
      </c>
      <c r="I10" s="103"/>
    </row>
    <row r="11" spans="1:14" ht="24.95" customHeight="1" x14ac:dyDescent="0.25">
      <c r="A11" s="767" t="s">
        <v>4865</v>
      </c>
      <c r="B11" s="768"/>
      <c r="C11" s="769"/>
      <c r="D11" s="769"/>
      <c r="E11" s="769"/>
      <c r="F11" s="769"/>
      <c r="I11" s="103"/>
    </row>
    <row r="12" spans="1:14" ht="15" x14ac:dyDescent="0.25">
      <c r="A12" s="770"/>
      <c r="B12" s="1374" t="s">
        <v>4870</v>
      </c>
      <c r="C12" s="1374"/>
      <c r="D12" s="1374"/>
      <c r="E12" s="1374"/>
      <c r="F12" s="1374"/>
      <c r="I12" s="103"/>
    </row>
    <row r="13" spans="1:14" x14ac:dyDescent="0.2">
      <c r="A13"/>
      <c r="B13" s="773" t="s">
        <v>4866</v>
      </c>
      <c r="C13" s="771">
        <f>'Project Details'!C26</f>
        <v>0</v>
      </c>
      <c r="D13" s="1381" t="str">
        <f>IF(C13="Preserved Affordability","INELIGIBLE FOR POOL","")</f>
        <v/>
      </c>
      <c r="E13" s="1381"/>
      <c r="F13" s="1381"/>
      <c r="I13" s="103"/>
    </row>
    <row r="14" spans="1:14" ht="15" x14ac:dyDescent="0.25">
      <c r="A14" s="770"/>
      <c r="B14" s="1376" t="s">
        <v>5281</v>
      </c>
      <c r="C14" s="1377"/>
      <c r="D14" s="1377"/>
      <c r="E14" s="1377"/>
      <c r="F14" s="1378"/>
      <c r="I14" s="103"/>
    </row>
    <row r="15" spans="1:14" x14ac:dyDescent="0.2">
      <c r="A15"/>
      <c r="B15" s="773" t="s">
        <v>5174</v>
      </c>
      <c r="C15" s="771">
        <f>'Project Details'!C14</f>
        <v>0</v>
      </c>
      <c r="D15" s="785" t="str">
        <f>IF(C15="Non-Urban","INELIGIBLE FOR POOL","")</f>
        <v/>
      </c>
      <c r="I15" s="103"/>
    </row>
    <row r="16" spans="1:14" ht="15" x14ac:dyDescent="0.25">
      <c r="A16" s="770"/>
      <c r="B16" s="1375" t="s">
        <v>5194</v>
      </c>
      <c r="C16" s="1375"/>
      <c r="D16" s="1375"/>
      <c r="E16" s="1375"/>
      <c r="F16" s="1375"/>
      <c r="I16" s="103"/>
    </row>
    <row r="17" spans="1:18" x14ac:dyDescent="0.2">
      <c r="B17" s="37" t="s">
        <v>3690</v>
      </c>
      <c r="C17" s="774">
        <f>'Project Details'!C31</f>
        <v>0</v>
      </c>
      <c r="D17" s="1380" t="str">
        <f>IF(OR(C17="Low",C17="Very Low"),"INELIGIBLE FOR POOL","")</f>
        <v/>
      </c>
      <c r="E17" s="1380"/>
      <c r="F17" s="1380"/>
      <c r="I17" s="103"/>
    </row>
    <row r="18" spans="1:18" x14ac:dyDescent="0.2">
      <c r="B18" s="37" t="s">
        <v>5195</v>
      </c>
      <c r="C18" s="953">
        <f>'Project Details'!C234</f>
        <v>0</v>
      </c>
      <c r="D18" s="1380" t="str">
        <f>IF(OR(AND(C17="Moderate",C18="Slight Decline"),AND(C17="Moderate",C18="Strong Decline")),"INELIGIBLE FOR POOL","")</f>
        <v/>
      </c>
      <c r="E18" s="1380"/>
      <c r="F18" s="1380"/>
      <c r="I18" s="103"/>
    </row>
    <row r="19" spans="1:18" x14ac:dyDescent="0.2">
      <c r="B19" s="37" t="s">
        <v>5196</v>
      </c>
      <c r="C19" s="954">
        <f>'Project Details'!C40</f>
        <v>0</v>
      </c>
      <c r="D19" s="955"/>
      <c r="E19" s="955"/>
      <c r="F19" s="955"/>
      <c r="I19" s="103"/>
    </row>
    <row r="20" spans="1:18" ht="15" thickBot="1" x14ac:dyDescent="0.25">
      <c r="B20" s="147"/>
      <c r="C20" s="148"/>
      <c r="I20" s="100" t="str">
        <f>IF(H21&lt;&gt;F22,"Doesn't Match Self-Score","")</f>
        <v/>
      </c>
    </row>
    <row r="21" spans="1:18" ht="18.75" thickBot="1" x14ac:dyDescent="0.3">
      <c r="A21" s="474" t="s">
        <v>5209</v>
      </c>
      <c r="B21" s="486"/>
      <c r="C21" s="487"/>
      <c r="D21" s="487"/>
      <c r="E21" s="487"/>
      <c r="F21" s="488"/>
      <c r="H21" s="128">
        <f>IF(H23+H28+H34+H39&gt;=10,10,0)</f>
        <v>0</v>
      </c>
      <c r="I21" s="1350" t="s">
        <v>5263</v>
      </c>
      <c r="J21" s="1351"/>
      <c r="K21" s="1351"/>
      <c r="L21" s="1351"/>
      <c r="M21" s="1351"/>
      <c r="N21" s="1352"/>
    </row>
    <row r="22" spans="1:18" ht="14.25" customHeight="1" x14ac:dyDescent="0.25">
      <c r="A22" s="1367" t="s">
        <v>3893</v>
      </c>
      <c r="B22" s="1368"/>
      <c r="C22" s="1368"/>
      <c r="D22" s="489"/>
      <c r="E22" s="484" t="s">
        <v>3949</v>
      </c>
      <c r="F22" s="485">
        <f>IF(A23+A28+A34+A39&gt;=10,10,0)</f>
        <v>0</v>
      </c>
      <c r="H22" s="9" t="s">
        <v>4910</v>
      </c>
      <c r="I22" s="1353"/>
      <c r="J22" s="1354"/>
      <c r="K22" s="1354"/>
      <c r="L22" s="1354"/>
      <c r="M22" s="1354"/>
      <c r="N22" s="1355"/>
      <c r="O22" s="194"/>
      <c r="P22" s="194"/>
      <c r="Q22" s="194"/>
      <c r="R22" s="194"/>
    </row>
    <row r="23" spans="1:18" ht="14.25" customHeight="1" x14ac:dyDescent="0.25">
      <c r="A23" s="260"/>
      <c r="B23" s="120" t="s">
        <v>5205</v>
      </c>
      <c r="C23" s="121"/>
      <c r="D23" s="127"/>
      <c r="E23" s="122"/>
      <c r="F23" s="123"/>
      <c r="H23" s="262"/>
      <c r="I23" s="1356"/>
      <c r="J23" s="1357"/>
      <c r="K23" s="1357"/>
      <c r="L23" s="1357"/>
      <c r="M23" s="1357"/>
      <c r="N23" s="1358"/>
      <c r="O23" s="194"/>
      <c r="P23" s="194"/>
      <c r="Q23" s="194"/>
      <c r="R23" s="194"/>
    </row>
    <row r="24" spans="1:18" ht="27" customHeight="1" x14ac:dyDescent="0.25">
      <c r="A24" s="261"/>
      <c r="B24" s="490" t="s">
        <v>3948</v>
      </c>
      <c r="C24" s="1372" t="s">
        <v>5199</v>
      </c>
      <c r="D24" s="1372"/>
      <c r="E24" s="1372"/>
      <c r="F24" s="1373"/>
      <c r="H24" s="26"/>
      <c r="I24" s="1356"/>
      <c r="J24" s="1357"/>
      <c r="K24" s="1357"/>
      <c r="L24" s="1357"/>
      <c r="M24" s="1357"/>
      <c r="N24" s="1358"/>
      <c r="O24" s="194"/>
      <c r="P24" s="194"/>
      <c r="Q24" s="194"/>
      <c r="R24" s="194"/>
    </row>
    <row r="25" spans="1:18" ht="15" x14ac:dyDescent="0.25">
      <c r="A25" s="261"/>
      <c r="B25" s="37" t="s">
        <v>4406</v>
      </c>
      <c r="C25" s="263"/>
      <c r="D25" s="370" t="s">
        <v>4405</v>
      </c>
      <c r="E25" s="263"/>
      <c r="H25" s="26"/>
      <c r="I25" s="1356"/>
      <c r="J25" s="1357"/>
      <c r="K25" s="1357"/>
      <c r="L25" s="1357"/>
      <c r="M25" s="1357"/>
      <c r="N25" s="1358"/>
      <c r="O25" s="194"/>
      <c r="P25" s="194"/>
      <c r="Q25" s="194"/>
      <c r="R25" s="194"/>
    </row>
    <row r="26" spans="1:18" ht="15" x14ac:dyDescent="0.25">
      <c r="A26" s="261"/>
      <c r="B26" s="37" t="s">
        <v>3951</v>
      </c>
      <c r="C26" s="129" t="str">
        <f>IFERROR(VLOOKUP(C25,Data!$J$86:$K$89,2,FALSE),"")</f>
        <v/>
      </c>
      <c r="D26" s="103" t="str">
        <f>IF(C26&lt;0.25,"Insufficient Ownership","")</f>
        <v/>
      </c>
      <c r="E26" s="26"/>
      <c r="H26" s="26"/>
      <c r="I26" s="1356"/>
      <c r="J26" s="1357"/>
      <c r="K26" s="1357"/>
      <c r="L26" s="1357"/>
      <c r="M26" s="1357"/>
      <c r="N26" s="1358"/>
      <c r="O26" s="194"/>
      <c r="P26" s="194"/>
      <c r="Q26" s="194"/>
      <c r="R26" s="194"/>
    </row>
    <row r="27" spans="1:18" ht="14.25" customHeight="1" x14ac:dyDescent="0.25">
      <c r="A27" s="261"/>
      <c r="B27" s="5"/>
      <c r="D27" s="26"/>
      <c r="E27" s="26"/>
      <c r="H27" s="9" t="s">
        <v>4299</v>
      </c>
      <c r="I27" s="1356"/>
      <c r="J27" s="1357"/>
      <c r="K27" s="1357"/>
      <c r="L27" s="1357"/>
      <c r="M27" s="1357"/>
      <c r="N27" s="1358"/>
      <c r="O27" s="194"/>
      <c r="P27" s="194"/>
      <c r="Q27" s="194"/>
      <c r="R27" s="194"/>
    </row>
    <row r="28" spans="1:18" ht="14.25" customHeight="1" x14ac:dyDescent="0.25">
      <c r="A28" s="262"/>
      <c r="B28" s="111" t="s">
        <v>5206</v>
      </c>
      <c r="C28" s="112"/>
      <c r="D28" s="113"/>
      <c r="E28" s="114"/>
      <c r="F28" s="115"/>
      <c r="H28" s="262"/>
      <c r="I28" s="1356"/>
      <c r="J28" s="1357"/>
      <c r="K28" s="1357"/>
      <c r="L28" s="1357"/>
      <c r="M28" s="1357"/>
      <c r="N28" s="1358"/>
      <c r="O28" s="194"/>
      <c r="P28" s="194"/>
      <c r="Q28" s="194"/>
      <c r="R28" s="194"/>
    </row>
    <row r="29" spans="1:18" ht="29.25" customHeight="1" x14ac:dyDescent="0.25">
      <c r="A29" s="261"/>
      <c r="B29" s="490" t="s">
        <v>3948</v>
      </c>
      <c r="C29" s="1372" t="s">
        <v>5904</v>
      </c>
      <c r="D29" s="1372"/>
      <c r="E29" s="1372"/>
      <c r="F29" s="1373"/>
      <c r="H29" s="26"/>
      <c r="I29" s="1356"/>
      <c r="J29" s="1357"/>
      <c r="K29" s="1357"/>
      <c r="L29" s="1357"/>
      <c r="M29" s="1357"/>
      <c r="N29" s="1358"/>
      <c r="O29" s="194"/>
      <c r="P29" s="194"/>
      <c r="Q29" s="194"/>
      <c r="R29" s="194"/>
    </row>
    <row r="30" spans="1:18" ht="15" x14ac:dyDescent="0.25">
      <c r="A30" s="261"/>
      <c r="B30" s="37" t="s">
        <v>3952</v>
      </c>
      <c r="C30" s="263"/>
      <c r="D30" s="26"/>
      <c r="E30" s="26"/>
      <c r="H30" s="26"/>
      <c r="I30" s="1356"/>
      <c r="J30" s="1357"/>
      <c r="K30" s="1357"/>
      <c r="L30" s="1357"/>
      <c r="M30" s="1357"/>
      <c r="N30" s="1358"/>
      <c r="O30" s="194"/>
      <c r="P30" s="194"/>
      <c r="Q30" s="194"/>
      <c r="R30" s="194"/>
    </row>
    <row r="31" spans="1:18" ht="15" x14ac:dyDescent="0.25">
      <c r="A31" s="261"/>
      <c r="B31" s="37" t="s">
        <v>4622</v>
      </c>
      <c r="C31" s="263"/>
      <c r="D31" s="26"/>
      <c r="E31" s="26"/>
      <c r="H31" s="26"/>
      <c r="I31" s="1356"/>
      <c r="J31" s="1357"/>
      <c r="K31" s="1357"/>
      <c r="L31" s="1357"/>
      <c r="M31" s="1357"/>
      <c r="N31" s="1358"/>
      <c r="O31" s="194"/>
      <c r="P31" s="194"/>
      <c r="Q31" s="194"/>
      <c r="R31" s="194"/>
    </row>
    <row r="32" spans="1:18" ht="15" x14ac:dyDescent="0.25">
      <c r="A32" s="261"/>
      <c r="B32" s="37" t="s">
        <v>3951</v>
      </c>
      <c r="C32" s="129" t="str">
        <f>IFERROR(VLOOKUP(C30,Data!$J$86:$K$89,2,FALSE),"")</f>
        <v/>
      </c>
      <c r="D32" s="103" t="str">
        <f>IF(C32&lt;0.25,"Insufficient Ownership","")</f>
        <v/>
      </c>
      <c r="E32" s="26"/>
      <c r="H32" s="26"/>
      <c r="I32" s="1356"/>
      <c r="J32" s="1357"/>
      <c r="K32" s="1357"/>
      <c r="L32" s="1357"/>
      <c r="M32" s="1357"/>
      <c r="N32" s="1358"/>
      <c r="O32" s="194"/>
      <c r="P32" s="194"/>
      <c r="Q32" s="194"/>
      <c r="R32" s="194"/>
    </row>
    <row r="33" spans="1:18" ht="14.25" customHeight="1" x14ac:dyDescent="0.25">
      <c r="A33" s="261"/>
      <c r="B33" s="5"/>
      <c r="D33" s="26"/>
      <c r="E33" s="26"/>
      <c r="H33" s="9" t="s">
        <v>3918</v>
      </c>
      <c r="I33" s="1356"/>
      <c r="J33" s="1357"/>
      <c r="K33" s="1357"/>
      <c r="L33" s="1357"/>
      <c r="M33" s="1357"/>
      <c r="N33" s="1358"/>
      <c r="O33" s="194"/>
      <c r="P33" s="194"/>
      <c r="Q33" s="194"/>
      <c r="R33" s="194"/>
    </row>
    <row r="34" spans="1:18" ht="14.25" customHeight="1" x14ac:dyDescent="0.25">
      <c r="A34" s="262"/>
      <c r="B34" s="111" t="s">
        <v>5207</v>
      </c>
      <c r="C34" s="112"/>
      <c r="D34" s="113"/>
      <c r="E34" s="114"/>
      <c r="F34" s="115"/>
      <c r="H34" s="262"/>
      <c r="I34" s="1356"/>
      <c r="J34" s="1357"/>
      <c r="K34" s="1357"/>
      <c r="L34" s="1357"/>
      <c r="M34" s="1357"/>
      <c r="N34" s="1358"/>
      <c r="O34" s="194"/>
      <c r="P34" s="194"/>
      <c r="Q34" s="194"/>
      <c r="R34" s="194"/>
    </row>
    <row r="35" spans="1:18" ht="30.75" customHeight="1" x14ac:dyDescent="0.25">
      <c r="A35" s="261"/>
      <c r="B35" s="490" t="s">
        <v>3948</v>
      </c>
      <c r="C35" s="1372" t="s">
        <v>5905</v>
      </c>
      <c r="D35" s="1372"/>
      <c r="E35" s="1372"/>
      <c r="F35" s="1373"/>
      <c r="H35" s="26"/>
      <c r="I35" s="1356"/>
      <c r="J35" s="1357"/>
      <c r="K35" s="1357"/>
      <c r="L35" s="1357"/>
      <c r="M35" s="1357"/>
      <c r="N35" s="1358"/>
      <c r="O35" s="194"/>
      <c r="P35" s="194"/>
      <c r="Q35" s="194"/>
      <c r="R35" s="194"/>
    </row>
    <row r="36" spans="1:18" ht="15" x14ac:dyDescent="0.25">
      <c r="A36" s="261"/>
      <c r="B36" s="37" t="s">
        <v>3953</v>
      </c>
      <c r="C36" s="263"/>
      <c r="D36" s="26"/>
      <c r="E36" s="26"/>
      <c r="H36" s="26"/>
      <c r="I36" s="1356"/>
      <c r="J36" s="1357"/>
      <c r="K36" s="1357"/>
      <c r="L36" s="1357"/>
      <c r="M36" s="1357"/>
      <c r="N36" s="1358"/>
      <c r="O36" s="194"/>
      <c r="P36" s="194"/>
      <c r="Q36" s="194"/>
      <c r="R36" s="194"/>
    </row>
    <row r="37" spans="1:18" ht="15" x14ac:dyDescent="0.25">
      <c r="A37" s="261"/>
      <c r="B37" s="37" t="s">
        <v>4623</v>
      </c>
      <c r="C37" s="670"/>
      <c r="D37" s="103"/>
      <c r="E37" s="26"/>
      <c r="H37" s="26"/>
      <c r="I37" s="1356"/>
      <c r="J37" s="1357"/>
      <c r="K37" s="1357"/>
      <c r="L37" s="1357"/>
      <c r="M37" s="1357"/>
      <c r="N37" s="1358"/>
      <c r="O37" s="194"/>
      <c r="P37" s="194"/>
      <c r="Q37" s="194"/>
      <c r="R37" s="194"/>
    </row>
    <row r="38" spans="1:18" ht="14.25" customHeight="1" x14ac:dyDescent="0.25">
      <c r="A38" s="261"/>
      <c r="B38" s="5"/>
      <c r="D38" s="103"/>
      <c r="E38" s="26"/>
      <c r="H38" s="9" t="s">
        <v>4301</v>
      </c>
      <c r="I38" s="1356"/>
      <c r="J38" s="1357"/>
      <c r="K38" s="1357"/>
      <c r="L38" s="1357"/>
      <c r="M38" s="1357"/>
      <c r="N38" s="1358"/>
      <c r="O38" s="194"/>
      <c r="P38" s="194"/>
      <c r="Q38" s="194"/>
      <c r="R38" s="194"/>
    </row>
    <row r="39" spans="1:18" ht="14.25" customHeight="1" x14ac:dyDescent="0.25">
      <c r="A39" s="262"/>
      <c r="B39" s="111" t="s">
        <v>5208</v>
      </c>
      <c r="C39" s="112"/>
      <c r="D39" s="113"/>
      <c r="E39" s="114"/>
      <c r="F39" s="115"/>
      <c r="H39" s="262"/>
      <c r="I39" s="1356"/>
      <c r="J39" s="1357"/>
      <c r="K39" s="1357"/>
      <c r="L39" s="1357"/>
      <c r="M39" s="1357"/>
      <c r="N39" s="1358"/>
      <c r="O39" s="194"/>
      <c r="P39" s="194"/>
      <c r="Q39" s="194"/>
      <c r="R39" s="194"/>
    </row>
    <row r="40" spans="1:18" ht="14.25" customHeight="1" x14ac:dyDescent="0.25">
      <c r="A40" s="261"/>
      <c r="B40" s="491" t="s">
        <v>3948</v>
      </c>
      <c r="C40" s="117" t="s">
        <v>5201</v>
      </c>
      <c r="D40" s="118"/>
      <c r="E40" s="118"/>
      <c r="F40" s="119"/>
      <c r="H40" s="26"/>
      <c r="I40" s="1356"/>
      <c r="J40" s="1357"/>
      <c r="K40" s="1357"/>
      <c r="L40" s="1357"/>
      <c r="M40" s="1357"/>
      <c r="N40" s="1358"/>
      <c r="O40" s="194"/>
      <c r="P40" s="194"/>
      <c r="Q40" s="194"/>
      <c r="R40" s="194"/>
    </row>
    <row r="41" spans="1:18" ht="15.75" thickBot="1" x14ac:dyDescent="0.3">
      <c r="A41" s="261"/>
      <c r="B41" s="37" t="s">
        <v>3095</v>
      </c>
      <c r="C41" s="130">
        <f>'Development Team'!D6</f>
        <v>0</v>
      </c>
      <c r="D41" s="147"/>
      <c r="E41" s="957"/>
      <c r="H41" s="26"/>
      <c r="I41" s="1359"/>
      <c r="J41" s="1360"/>
      <c r="K41" s="1360"/>
      <c r="L41" s="1360"/>
      <c r="M41" s="1360"/>
      <c r="N41" s="1361"/>
      <c r="O41" s="194"/>
      <c r="P41" s="194"/>
      <c r="Q41" s="194"/>
      <c r="R41" s="194"/>
    </row>
    <row r="42" spans="1:18" ht="15" x14ac:dyDescent="0.25">
      <c r="A42" s="261"/>
      <c r="B42" s="37" t="s">
        <v>5203</v>
      </c>
      <c r="C42" s="1016"/>
      <c r="D42" s="147"/>
      <c r="E42" s="957"/>
      <c r="G42" s="26"/>
      <c r="H42" s="26"/>
      <c r="I42" s="26"/>
      <c r="J42" s="26"/>
      <c r="K42" s="26"/>
      <c r="L42" s="26"/>
      <c r="M42" s="26"/>
      <c r="N42" s="26"/>
      <c r="O42" s="194"/>
      <c r="P42" s="194"/>
      <c r="Q42" s="194"/>
      <c r="R42" s="194"/>
    </row>
    <row r="43" spans="1:18" ht="15" x14ac:dyDescent="0.25">
      <c r="A43" s="261"/>
      <c r="C43" s="1016"/>
      <c r="D43" s="147"/>
      <c r="E43" s="957"/>
      <c r="G43" s="26"/>
      <c r="H43" s="26"/>
      <c r="I43" s="26"/>
      <c r="J43" s="26"/>
      <c r="K43" s="26"/>
      <c r="L43" s="26"/>
      <c r="M43" s="26"/>
      <c r="N43" s="26"/>
      <c r="O43" s="194"/>
      <c r="P43" s="194"/>
      <c r="Q43" s="194"/>
      <c r="R43" s="194"/>
    </row>
    <row r="44" spans="1:18" ht="15" x14ac:dyDescent="0.25">
      <c r="A44" s="261"/>
      <c r="C44" s="1016"/>
      <c r="D44" s="147"/>
      <c r="E44" s="957"/>
      <c r="G44" s="26"/>
      <c r="H44" s="26"/>
      <c r="I44" s="26"/>
      <c r="J44" s="26"/>
      <c r="K44" s="26"/>
      <c r="L44" s="26"/>
      <c r="M44" s="26"/>
      <c r="N44" s="26"/>
      <c r="O44" s="194"/>
      <c r="P44" s="194"/>
      <c r="Q44" s="194"/>
      <c r="R44" s="194"/>
    </row>
    <row r="45" spans="1:18" ht="15" x14ac:dyDescent="0.25">
      <c r="A45" s="261"/>
      <c r="C45" s="1016"/>
      <c r="D45" s="147"/>
      <c r="E45" s="957"/>
      <c r="G45" s="26"/>
      <c r="H45" s="26"/>
      <c r="I45" s="26"/>
      <c r="J45" s="26"/>
      <c r="K45" s="26"/>
      <c r="L45" s="26"/>
      <c r="M45" s="26"/>
      <c r="N45" s="26"/>
      <c r="O45" s="194"/>
      <c r="P45" s="194"/>
      <c r="Q45" s="194"/>
      <c r="R45" s="194"/>
    </row>
    <row r="46" spans="1:18" ht="15" x14ac:dyDescent="0.25">
      <c r="A46" s="261"/>
      <c r="C46" s="1016"/>
      <c r="D46" s="147"/>
      <c r="E46" s="957"/>
      <c r="G46" s="26"/>
      <c r="H46" s="26"/>
      <c r="I46" s="26"/>
      <c r="J46" s="26"/>
      <c r="K46" s="26"/>
      <c r="L46" s="26"/>
      <c r="M46" s="26"/>
      <c r="N46" s="26"/>
      <c r="O46" s="194"/>
      <c r="P46" s="194"/>
      <c r="Q46" s="194"/>
      <c r="R46" s="194"/>
    </row>
    <row r="47" spans="1:18" ht="14.25" customHeight="1" thickBot="1" x14ac:dyDescent="0.3">
      <c r="A47" s="261"/>
      <c r="B47" s="5"/>
      <c r="D47" s="26"/>
      <c r="E47" s="26"/>
      <c r="G47" s="26"/>
      <c r="H47" s="26"/>
      <c r="I47" s="100" t="str">
        <f>IF(F49&lt;&gt;H48, "Doesn't Match Self-Score","")</f>
        <v/>
      </c>
      <c r="J47" s="26"/>
      <c r="K47" s="26"/>
      <c r="L47" s="26"/>
      <c r="M47" s="26"/>
      <c r="N47" s="26"/>
      <c r="O47" s="194"/>
      <c r="P47" s="194"/>
      <c r="Q47" s="194"/>
      <c r="R47" s="194"/>
    </row>
    <row r="48" spans="1:18" ht="24.95" customHeight="1" thickBot="1" x14ac:dyDescent="0.3">
      <c r="A48" s="474" t="s">
        <v>5210</v>
      </c>
      <c r="B48" s="479"/>
      <c r="C48" s="480"/>
      <c r="D48" s="106"/>
      <c r="E48" s="106"/>
      <c r="F48" s="107"/>
      <c r="H48" s="128">
        <f>MAX(H50,H61)</f>
        <v>0</v>
      </c>
      <c r="I48" s="1350" t="s">
        <v>4913</v>
      </c>
      <c r="J48" s="1351"/>
      <c r="K48" s="1351"/>
      <c r="L48" s="1351"/>
      <c r="M48" s="1351"/>
      <c r="N48" s="1352"/>
      <c r="O48" s="194"/>
      <c r="P48" s="194"/>
      <c r="Q48" s="194"/>
      <c r="R48" s="194"/>
    </row>
    <row r="49" spans="1:18" ht="14.25" customHeight="1" x14ac:dyDescent="0.25">
      <c r="A49" s="1367" t="s">
        <v>4620</v>
      </c>
      <c r="B49" s="1368"/>
      <c r="C49" s="1368"/>
      <c r="D49" s="110"/>
      <c r="E49" s="475" t="s">
        <v>3949</v>
      </c>
      <c r="F49" s="476">
        <f>MAX(A50,A61)</f>
        <v>0</v>
      </c>
      <c r="H49" s="9" t="s">
        <v>4911</v>
      </c>
      <c r="I49" s="1353"/>
      <c r="J49" s="1354"/>
      <c r="K49" s="1354"/>
      <c r="L49" s="1354"/>
      <c r="M49" s="1354"/>
      <c r="N49" s="1355"/>
      <c r="O49" s="194"/>
      <c r="P49" s="194"/>
      <c r="Q49" s="194"/>
      <c r="R49" s="194"/>
    </row>
    <row r="50" spans="1:18" ht="14.25" customHeight="1" x14ac:dyDescent="0.25">
      <c r="A50" s="824">
        <f>C53</f>
        <v>0</v>
      </c>
      <c r="B50" s="124" t="s">
        <v>5211</v>
      </c>
      <c r="C50" s="125"/>
      <c r="D50" s="114"/>
      <c r="E50" s="114"/>
      <c r="F50" s="115"/>
      <c r="H50" s="262"/>
      <c r="I50" s="1356"/>
      <c r="J50" s="1357"/>
      <c r="K50" s="1357"/>
      <c r="L50" s="1357"/>
      <c r="M50" s="1357"/>
      <c r="N50" s="1358"/>
      <c r="O50" s="194"/>
      <c r="P50" s="194"/>
      <c r="Q50" s="194"/>
      <c r="R50" s="194"/>
    </row>
    <row r="51" spans="1:18" ht="14.25" customHeight="1" x14ac:dyDescent="0.25">
      <c r="A51" s="261"/>
      <c r="B51" s="491" t="s">
        <v>3948</v>
      </c>
      <c r="C51" s="117" t="s">
        <v>4462</v>
      </c>
      <c r="D51" s="118"/>
      <c r="E51" s="118"/>
      <c r="F51" s="119"/>
      <c r="H51" s="26"/>
      <c r="I51" s="1356"/>
      <c r="J51" s="1357"/>
      <c r="K51" s="1357"/>
      <c r="L51" s="1357"/>
      <c r="M51" s="1357"/>
      <c r="N51" s="1358"/>
      <c r="O51" s="194"/>
      <c r="P51" s="194"/>
      <c r="Q51" s="194"/>
      <c r="R51" s="194"/>
    </row>
    <row r="52" spans="1:18" ht="14.25" customHeight="1" x14ac:dyDescent="0.25">
      <c r="A52" s="261"/>
      <c r="B52" s="37" t="s">
        <v>5004</v>
      </c>
      <c r="C52" s="782"/>
      <c r="D52" s="26"/>
      <c r="E52" s="26"/>
      <c r="H52" s="26"/>
      <c r="I52" s="1356"/>
      <c r="J52" s="1357"/>
      <c r="K52" s="1357"/>
      <c r="L52" s="1357"/>
      <c r="M52" s="1357"/>
      <c r="N52" s="1358"/>
      <c r="O52" s="194"/>
      <c r="P52" s="194"/>
      <c r="Q52" s="194"/>
      <c r="R52" s="194"/>
    </row>
    <row r="53" spans="1:18" ht="14.25" customHeight="1" x14ac:dyDescent="0.25">
      <c r="A53" s="261"/>
      <c r="B53" s="37" t="s">
        <v>4656</v>
      </c>
      <c r="C53" s="775">
        <f>IF(C52="Onsite fitness area",5,IF(C52="Facility partnership",5,IF(C52="Onsite health/wellness clinic",5,0)))</f>
        <v>0</v>
      </c>
      <c r="D53" s="26"/>
      <c r="E53" s="26"/>
      <c r="H53" s="26"/>
      <c r="I53" s="1356"/>
      <c r="J53" s="1357"/>
      <c r="K53" s="1357"/>
      <c r="L53" s="1357"/>
      <c r="M53" s="1357"/>
      <c r="N53" s="1358"/>
      <c r="O53" s="194"/>
      <c r="P53" s="194"/>
      <c r="Q53" s="194"/>
      <c r="R53" s="194"/>
    </row>
    <row r="54" spans="1:18" ht="14.25" customHeight="1" x14ac:dyDescent="0.25">
      <c r="A54" s="261"/>
      <c r="B54" s="5"/>
      <c r="C54" s="26"/>
      <c r="D54" s="26"/>
      <c r="E54" s="26"/>
      <c r="H54" s="26"/>
      <c r="I54" s="1356"/>
      <c r="J54" s="1357"/>
      <c r="K54" s="1357"/>
      <c r="L54" s="1357"/>
      <c r="M54" s="1357"/>
      <c r="N54" s="1358"/>
      <c r="O54" s="194"/>
      <c r="P54" s="194"/>
      <c r="Q54" s="194"/>
      <c r="R54" s="194"/>
    </row>
    <row r="55" spans="1:18" ht="32.25" customHeight="1" x14ac:dyDescent="0.2">
      <c r="A55" s="493"/>
      <c r="B55" s="494" t="s">
        <v>4463</v>
      </c>
      <c r="C55" s="1369" t="s">
        <v>4466</v>
      </c>
      <c r="D55" s="1369"/>
      <c r="E55" s="1369"/>
      <c r="F55" s="1369"/>
      <c r="H55" s="26"/>
      <c r="I55" s="1356"/>
      <c r="J55" s="1357"/>
      <c r="K55" s="1357"/>
      <c r="L55" s="1357"/>
      <c r="M55" s="1357"/>
      <c r="N55" s="1358"/>
      <c r="O55" s="194"/>
      <c r="P55" s="194"/>
      <c r="Q55" s="194"/>
      <c r="R55" s="194"/>
    </row>
    <row r="56" spans="1:18" ht="14.25" customHeight="1" x14ac:dyDescent="0.2">
      <c r="A56" s="493"/>
      <c r="B56" s="5"/>
      <c r="C56" s="26"/>
      <c r="D56" s="26"/>
      <c r="E56" s="26"/>
      <c r="H56" s="26"/>
      <c r="I56" s="1356"/>
      <c r="J56" s="1357"/>
      <c r="K56" s="1357"/>
      <c r="L56" s="1357"/>
      <c r="M56" s="1357"/>
      <c r="N56" s="1358"/>
      <c r="O56" s="194"/>
      <c r="P56" s="194"/>
      <c r="Q56" s="194"/>
      <c r="R56" s="194"/>
    </row>
    <row r="57" spans="1:18" ht="45" customHeight="1" x14ac:dyDescent="0.2">
      <c r="A57" s="493"/>
      <c r="B57" s="494" t="s">
        <v>4464</v>
      </c>
      <c r="C57" s="1369" t="s">
        <v>4467</v>
      </c>
      <c r="D57" s="1369"/>
      <c r="E57" s="1369"/>
      <c r="F57" s="1369"/>
      <c r="H57" s="26"/>
      <c r="I57" s="1356"/>
      <c r="J57" s="1357"/>
      <c r="K57" s="1357"/>
      <c r="L57" s="1357"/>
      <c r="M57" s="1357"/>
      <c r="N57" s="1358"/>
      <c r="O57" s="194"/>
      <c r="P57" s="194"/>
      <c r="Q57" s="194"/>
      <c r="R57" s="194"/>
    </row>
    <row r="58" spans="1:18" ht="14.25" customHeight="1" x14ac:dyDescent="0.2">
      <c r="A58" s="493"/>
      <c r="B58" s="5"/>
      <c r="C58" s="26"/>
      <c r="D58" s="26"/>
      <c r="E58" s="26"/>
      <c r="H58" s="26"/>
      <c r="I58" s="1356"/>
      <c r="J58" s="1357"/>
      <c r="K58" s="1357"/>
      <c r="L58" s="1357"/>
      <c r="M58" s="1357"/>
      <c r="N58" s="1358"/>
      <c r="O58" s="194"/>
      <c r="P58" s="194"/>
      <c r="Q58" s="194"/>
      <c r="R58" s="194"/>
    </row>
    <row r="59" spans="1:18" ht="45.75" customHeight="1" x14ac:dyDescent="0.2">
      <c r="A59" s="493"/>
      <c r="B59" s="494" t="s">
        <v>4465</v>
      </c>
      <c r="C59" s="1369" t="s">
        <v>4468</v>
      </c>
      <c r="D59" s="1369"/>
      <c r="E59" s="1369"/>
      <c r="F59" s="1369"/>
      <c r="H59" s="26"/>
      <c r="I59" s="1356"/>
      <c r="J59" s="1357"/>
      <c r="K59" s="1357"/>
      <c r="L59" s="1357"/>
      <c r="M59" s="1357"/>
      <c r="N59" s="1358"/>
      <c r="O59" s="194"/>
      <c r="P59" s="194"/>
      <c r="Q59" s="194"/>
      <c r="R59" s="194"/>
    </row>
    <row r="60" spans="1:18" ht="14.25" customHeight="1" x14ac:dyDescent="0.25">
      <c r="A60" s="261"/>
      <c r="B60" s="5"/>
      <c r="C60" s="26"/>
      <c r="D60" s="26"/>
      <c r="E60" s="26"/>
      <c r="H60" s="9" t="s">
        <v>4912</v>
      </c>
      <c r="I60" s="1356"/>
      <c r="J60" s="1357"/>
      <c r="K60" s="1357"/>
      <c r="L60" s="1357"/>
      <c r="M60" s="1357"/>
      <c r="N60" s="1358"/>
      <c r="O60" s="194"/>
      <c r="P60" s="194"/>
      <c r="Q60" s="194"/>
      <c r="R60" s="194"/>
    </row>
    <row r="61" spans="1:18" ht="14.25" customHeight="1" x14ac:dyDescent="0.25">
      <c r="A61" s="824">
        <f>IF(F70&gt;5,5,F70)</f>
        <v>0</v>
      </c>
      <c r="B61" s="124" t="s">
        <v>5212</v>
      </c>
      <c r="C61" s="125"/>
      <c r="D61" s="114"/>
      <c r="E61" s="114"/>
      <c r="F61" s="115"/>
      <c r="H61" s="262"/>
      <c r="I61" s="1356"/>
      <c r="J61" s="1357"/>
      <c r="K61" s="1357"/>
      <c r="L61" s="1357"/>
      <c r="M61" s="1357"/>
      <c r="N61" s="1358"/>
      <c r="O61" s="194"/>
      <c r="P61" s="194"/>
      <c r="Q61" s="194"/>
      <c r="R61" s="194"/>
    </row>
    <row r="62" spans="1:18" ht="28.5" customHeight="1" x14ac:dyDescent="0.25">
      <c r="A62" s="261"/>
      <c r="B62" s="490" t="s">
        <v>3948</v>
      </c>
      <c r="C62" s="1260" t="s">
        <v>4443</v>
      </c>
      <c r="D62" s="1260"/>
      <c r="E62" s="1260"/>
      <c r="F62" s="1261"/>
      <c r="H62" s="26"/>
      <c r="I62" s="1356"/>
      <c r="J62" s="1357"/>
      <c r="K62" s="1357"/>
      <c r="L62" s="1357"/>
      <c r="M62" s="1357"/>
      <c r="N62" s="1358"/>
      <c r="O62" s="194"/>
      <c r="P62" s="194"/>
      <c r="Q62" s="194"/>
      <c r="R62" s="194"/>
    </row>
    <row r="63" spans="1:18" ht="15" x14ac:dyDescent="0.25">
      <c r="A63" s="261"/>
      <c r="B63" s="501" t="s">
        <v>4476</v>
      </c>
      <c r="C63" s="1370" t="s">
        <v>4469</v>
      </c>
      <c r="D63" s="1370"/>
      <c r="E63" s="263"/>
      <c r="F63" s="775">
        <f>IF(E63="Yes", 1, 0)</f>
        <v>0</v>
      </c>
      <c r="H63" s="26"/>
      <c r="I63" s="1356"/>
      <c r="J63" s="1357"/>
      <c r="K63" s="1357"/>
      <c r="L63" s="1357"/>
      <c r="M63" s="1357"/>
      <c r="N63" s="1358"/>
      <c r="O63" s="194"/>
      <c r="P63" s="194"/>
      <c r="Q63" s="194"/>
      <c r="R63" s="194"/>
    </row>
    <row r="64" spans="1:18" ht="14.25" customHeight="1" x14ac:dyDescent="0.2">
      <c r="A64" s="493"/>
      <c r="B64" s="5"/>
      <c r="C64" s="1370" t="s">
        <v>4470</v>
      </c>
      <c r="D64" s="1370"/>
      <c r="E64" s="263"/>
      <c r="F64" s="775">
        <f>IF(E64="Yes", 2, 0)</f>
        <v>0</v>
      </c>
      <c r="H64" s="26"/>
      <c r="I64" s="1356"/>
      <c r="J64" s="1357"/>
      <c r="K64" s="1357"/>
      <c r="L64" s="1357"/>
      <c r="M64" s="1357"/>
      <c r="N64" s="1358"/>
      <c r="O64" s="194"/>
      <c r="P64" s="194"/>
      <c r="Q64" s="194"/>
      <c r="R64" s="194"/>
    </row>
    <row r="65" spans="1:18" ht="14.25" customHeight="1" x14ac:dyDescent="0.2">
      <c r="A65" s="493"/>
      <c r="B65" s="101"/>
      <c r="C65" s="1370" t="s">
        <v>4471</v>
      </c>
      <c r="D65" s="1370"/>
      <c r="E65" s="263"/>
      <c r="F65" s="775">
        <f>IF(E65="Yes", 2, 0)</f>
        <v>0</v>
      </c>
      <c r="H65" s="26"/>
      <c r="I65" s="1356"/>
      <c r="J65" s="1357"/>
      <c r="K65" s="1357"/>
      <c r="L65" s="1357"/>
      <c r="M65" s="1357"/>
      <c r="N65" s="1358"/>
      <c r="O65" s="194"/>
      <c r="P65" s="194"/>
      <c r="Q65" s="194"/>
      <c r="R65" s="194"/>
    </row>
    <row r="66" spans="1:18" ht="14.25" customHeight="1" x14ac:dyDescent="0.2">
      <c r="A66" s="493"/>
      <c r="B66" s="5"/>
      <c r="C66" s="1370" t="s">
        <v>4472</v>
      </c>
      <c r="D66" s="1370"/>
      <c r="E66" s="263"/>
      <c r="F66" s="775">
        <f>IF(E66="Yes", 2, 0)</f>
        <v>0</v>
      </c>
      <c r="H66" s="26"/>
      <c r="I66" s="1356"/>
      <c r="J66" s="1357"/>
      <c r="K66" s="1357"/>
      <c r="L66" s="1357"/>
      <c r="M66" s="1357"/>
      <c r="N66" s="1358"/>
      <c r="O66" s="194"/>
      <c r="P66" s="194"/>
      <c r="Q66" s="194"/>
      <c r="R66" s="194"/>
    </row>
    <row r="67" spans="1:18" ht="14.25" customHeight="1" x14ac:dyDescent="0.2">
      <c r="A67" s="493"/>
      <c r="B67" s="101"/>
      <c r="C67" s="1370" t="s">
        <v>4473</v>
      </c>
      <c r="D67" s="1370"/>
      <c r="E67" s="263"/>
      <c r="F67" s="775">
        <f>IF(E67="Yes", 5, 0)</f>
        <v>0</v>
      </c>
      <c r="H67" s="26"/>
      <c r="I67" s="1356"/>
      <c r="J67" s="1357"/>
      <c r="K67" s="1357"/>
      <c r="L67" s="1357"/>
      <c r="M67" s="1357"/>
      <c r="N67" s="1358"/>
      <c r="O67" s="194"/>
      <c r="P67" s="194"/>
      <c r="Q67" s="194"/>
      <c r="R67" s="194"/>
    </row>
    <row r="68" spans="1:18" ht="14.25" customHeight="1" x14ac:dyDescent="0.2">
      <c r="A68" s="493"/>
      <c r="B68" s="101"/>
      <c r="C68" s="1370" t="s">
        <v>4474</v>
      </c>
      <c r="D68" s="1370"/>
      <c r="E68" s="263"/>
      <c r="F68" s="775">
        <f>IF(E68="Yes", 5, 0)</f>
        <v>0</v>
      </c>
      <c r="H68" s="26"/>
      <c r="I68" s="1356"/>
      <c r="J68" s="1357"/>
      <c r="K68" s="1357"/>
      <c r="L68" s="1357"/>
      <c r="M68" s="1357"/>
      <c r="N68" s="1358"/>
      <c r="O68" s="194"/>
      <c r="P68" s="194"/>
      <c r="Q68" s="194"/>
      <c r="R68" s="194"/>
    </row>
    <row r="69" spans="1:18" x14ac:dyDescent="0.2">
      <c r="A69" s="493"/>
      <c r="B69" s="101"/>
      <c r="C69" s="1370" t="s">
        <v>4475</v>
      </c>
      <c r="D69" s="1370"/>
      <c r="E69" s="263"/>
      <c r="F69" s="775">
        <f>IF(E69="Yes", 5, 0)</f>
        <v>0</v>
      </c>
      <c r="H69" s="26"/>
      <c r="I69" s="1356"/>
      <c r="J69" s="1357"/>
      <c r="K69" s="1357"/>
      <c r="L69" s="1357"/>
      <c r="M69" s="1357"/>
      <c r="N69" s="1358"/>
      <c r="O69" s="194"/>
      <c r="P69" s="194"/>
      <c r="Q69" s="194"/>
      <c r="R69" s="194"/>
    </row>
    <row r="70" spans="1:18" ht="15" thickBot="1" x14ac:dyDescent="0.25">
      <c r="A70" s="493"/>
      <c r="B70" s="101"/>
      <c r="E70" s="502" t="s">
        <v>3107</v>
      </c>
      <c r="F70" s="775">
        <f>SUM(F63:F69)</f>
        <v>0</v>
      </c>
      <c r="H70" s="26"/>
      <c r="I70" s="1359"/>
      <c r="J70" s="1360"/>
      <c r="K70" s="1360"/>
      <c r="L70" s="1360"/>
      <c r="M70" s="1360"/>
      <c r="N70" s="1361"/>
      <c r="O70" s="194"/>
      <c r="P70" s="194"/>
      <c r="Q70" s="194"/>
      <c r="R70" s="194"/>
    </row>
    <row r="71" spans="1:18" ht="14.25" customHeight="1" thickBot="1" x14ac:dyDescent="0.3">
      <c r="A71" s="261"/>
      <c r="B71" s="5"/>
      <c r="C71" s="26"/>
      <c r="D71" s="26"/>
      <c r="E71" s="26"/>
      <c r="H71" s="26"/>
      <c r="I71" s="100" t="str">
        <f>IF(H72&lt;&gt;F73,"Doesn't Match Self-Score","")</f>
        <v/>
      </c>
      <c r="J71" s="814"/>
      <c r="K71" s="814"/>
      <c r="L71" s="814"/>
      <c r="M71" s="814"/>
      <c r="N71" s="814"/>
      <c r="O71" s="194"/>
      <c r="P71" s="194"/>
      <c r="Q71" s="194"/>
      <c r="R71" s="194"/>
    </row>
    <row r="72" spans="1:18" ht="24.95" customHeight="1" thickBot="1" x14ac:dyDescent="0.3">
      <c r="A72" s="474" t="s">
        <v>5213</v>
      </c>
      <c r="B72" s="479"/>
      <c r="C72" s="480"/>
      <c r="D72" s="106"/>
      <c r="E72" s="477"/>
      <c r="F72" s="478"/>
      <c r="H72" s="128">
        <f>MAX(H74,H79,H84)</f>
        <v>0</v>
      </c>
      <c r="I72" s="1350" t="s">
        <v>4914</v>
      </c>
      <c r="J72" s="1351"/>
      <c r="K72" s="1351"/>
      <c r="L72" s="1351"/>
      <c r="M72" s="1351"/>
      <c r="N72" s="1352"/>
      <c r="O72" s="194"/>
      <c r="P72" s="194"/>
      <c r="Q72" s="194"/>
      <c r="R72" s="194"/>
    </row>
    <row r="73" spans="1:18" ht="14.25" customHeight="1" x14ac:dyDescent="0.25">
      <c r="A73" s="1367" t="s">
        <v>4621</v>
      </c>
      <c r="B73" s="1368"/>
      <c r="C73" s="1368"/>
      <c r="D73" s="110"/>
      <c r="E73" s="475" t="s">
        <v>3949</v>
      </c>
      <c r="F73" s="476">
        <f>MAX(A74,A79,A84)</f>
        <v>0</v>
      </c>
      <c r="H73" s="9" t="s">
        <v>4736</v>
      </c>
      <c r="I73" s="1353"/>
      <c r="J73" s="1354"/>
      <c r="K73" s="1354"/>
      <c r="L73" s="1354"/>
      <c r="M73" s="1354"/>
      <c r="N73" s="1355"/>
      <c r="O73" s="194"/>
      <c r="P73" s="194"/>
      <c r="Q73" s="194"/>
      <c r="R73" s="194"/>
    </row>
    <row r="74" spans="1:18" ht="14.25" customHeight="1" x14ac:dyDescent="0.25">
      <c r="A74" s="823">
        <f>C77</f>
        <v>0</v>
      </c>
      <c r="B74" s="124" t="s">
        <v>5214</v>
      </c>
      <c r="C74" s="125"/>
      <c r="D74" s="114"/>
      <c r="E74" s="114"/>
      <c r="F74" s="115"/>
      <c r="H74" s="262"/>
      <c r="I74" s="1356"/>
      <c r="J74" s="1357"/>
      <c r="K74" s="1357"/>
      <c r="L74" s="1357"/>
      <c r="M74" s="1357"/>
      <c r="N74" s="1358"/>
      <c r="O74" s="194"/>
      <c r="P74" s="194"/>
      <c r="Q74" s="194"/>
      <c r="R74" s="194"/>
    </row>
    <row r="75" spans="1:18" ht="14.25" customHeight="1" x14ac:dyDescent="0.25">
      <c r="A75" s="261"/>
      <c r="B75" s="491" t="s">
        <v>3948</v>
      </c>
      <c r="C75" s="117" t="s">
        <v>4441</v>
      </c>
      <c r="D75" s="118"/>
      <c r="E75" s="118"/>
      <c r="F75" s="119"/>
      <c r="H75" s="26"/>
      <c r="I75" s="1356"/>
      <c r="J75" s="1357"/>
      <c r="K75" s="1357"/>
      <c r="L75" s="1357"/>
      <c r="M75" s="1357"/>
      <c r="N75" s="1358"/>
      <c r="O75" s="194"/>
      <c r="P75" s="194"/>
      <c r="Q75" s="194"/>
      <c r="R75" s="194"/>
    </row>
    <row r="76" spans="1:18" ht="14.25" customHeight="1" x14ac:dyDescent="0.25">
      <c r="A76" s="261"/>
      <c r="B76" s="37" t="s">
        <v>4682</v>
      </c>
      <c r="C76" s="779">
        <f>'Budget &amp; Costs'!I59</f>
        <v>0</v>
      </c>
      <c r="D76" s="26"/>
      <c r="E76" s="26"/>
      <c r="H76" s="26"/>
      <c r="I76" s="1356"/>
      <c r="J76" s="1357"/>
      <c r="K76" s="1357"/>
      <c r="L76" s="1357"/>
      <c r="M76" s="1357"/>
      <c r="N76" s="1358"/>
      <c r="O76" s="194"/>
      <c r="P76" s="194"/>
      <c r="Q76" s="194"/>
      <c r="R76" s="194"/>
    </row>
    <row r="77" spans="1:18" ht="14.25" customHeight="1" x14ac:dyDescent="0.25">
      <c r="A77" s="261"/>
      <c r="B77" s="37" t="s">
        <v>4656</v>
      </c>
      <c r="C77" s="780">
        <f>IF(C76&gt;9.9999%,10, 0)</f>
        <v>0</v>
      </c>
      <c r="D77" s="26"/>
      <c r="E77" s="26"/>
      <c r="H77" s="26"/>
      <c r="I77" s="1356"/>
      <c r="J77" s="1357"/>
      <c r="K77" s="1357"/>
      <c r="L77" s="1357"/>
      <c r="M77" s="1357"/>
      <c r="N77" s="1358"/>
      <c r="O77" s="194"/>
      <c r="P77" s="194"/>
      <c r="Q77" s="194"/>
      <c r="R77" s="194"/>
    </row>
    <row r="78" spans="1:18" ht="14.25" customHeight="1" x14ac:dyDescent="0.25">
      <c r="A78" s="261"/>
      <c r="B78" s="5"/>
      <c r="C78"/>
      <c r="D78" s="26"/>
      <c r="E78" s="26"/>
      <c r="H78" s="9" t="s">
        <v>4763</v>
      </c>
      <c r="I78" s="1356"/>
      <c r="J78" s="1357"/>
      <c r="K78" s="1357"/>
      <c r="L78" s="1357"/>
      <c r="M78" s="1357"/>
      <c r="N78" s="1358"/>
      <c r="O78" s="194"/>
      <c r="P78" s="194"/>
      <c r="Q78" s="194"/>
      <c r="R78" s="194"/>
    </row>
    <row r="79" spans="1:18" ht="14.25" customHeight="1" x14ac:dyDescent="0.25">
      <c r="A79" s="823">
        <f>C82</f>
        <v>0</v>
      </c>
      <c r="B79" s="124" t="s">
        <v>5215</v>
      </c>
      <c r="C79" s="125"/>
      <c r="D79" s="114"/>
      <c r="E79" s="114"/>
      <c r="F79" s="115"/>
      <c r="H79" s="262"/>
      <c r="I79" s="1356"/>
      <c r="J79" s="1357"/>
      <c r="K79" s="1357"/>
      <c r="L79" s="1357"/>
      <c r="M79" s="1357"/>
      <c r="N79" s="1358"/>
      <c r="O79" s="194"/>
      <c r="P79" s="194"/>
      <c r="Q79" s="194"/>
      <c r="R79" s="194"/>
    </row>
    <row r="80" spans="1:18" ht="14.25" customHeight="1" x14ac:dyDescent="0.25">
      <c r="A80" s="261"/>
      <c r="B80" s="491" t="s">
        <v>3948</v>
      </c>
      <c r="C80" s="117" t="s">
        <v>4442</v>
      </c>
      <c r="D80" s="118"/>
      <c r="E80" s="118"/>
      <c r="F80" s="119"/>
      <c r="H80" s="26"/>
      <c r="I80" s="1356"/>
      <c r="J80" s="1357"/>
      <c r="K80" s="1357"/>
      <c r="L80" s="1357"/>
      <c r="M80" s="1357"/>
      <c r="N80" s="1358"/>
      <c r="O80" s="194"/>
      <c r="P80" s="194"/>
      <c r="Q80" s="194"/>
      <c r="R80" s="194"/>
    </row>
    <row r="81" spans="1:18" ht="14.25" customHeight="1" x14ac:dyDescent="0.25">
      <c r="A81" s="261"/>
      <c r="B81" s="37" t="s">
        <v>4681</v>
      </c>
      <c r="C81" s="778">
        <f>'Budget &amp; Costs'!F53</f>
        <v>0</v>
      </c>
      <c r="D81" s="26"/>
      <c r="E81" s="26"/>
      <c r="H81" s="26"/>
      <c r="I81" s="1356"/>
      <c r="J81" s="1357"/>
      <c r="K81" s="1357"/>
      <c r="L81" s="1357"/>
      <c r="M81" s="1357"/>
      <c r="N81" s="1358"/>
      <c r="O81" s="194"/>
      <c r="P81" s="194"/>
      <c r="Q81" s="194"/>
      <c r="R81" s="194"/>
    </row>
    <row r="82" spans="1:18" ht="14.25" customHeight="1" x14ac:dyDescent="0.25">
      <c r="A82" s="261"/>
      <c r="B82" s="37" t="s">
        <v>4656</v>
      </c>
      <c r="C82" s="781">
        <f>IF(C81&gt;14.99%,10, 0)</f>
        <v>0</v>
      </c>
      <c r="D82" s="26"/>
      <c r="E82" s="26"/>
      <c r="H82" s="26"/>
      <c r="I82" s="1356"/>
      <c r="J82" s="1357"/>
      <c r="K82" s="1357"/>
      <c r="L82" s="1357"/>
      <c r="M82" s="1357"/>
      <c r="N82" s="1358"/>
      <c r="O82" s="194"/>
      <c r="P82" s="194"/>
      <c r="Q82" s="194"/>
      <c r="R82" s="194"/>
    </row>
    <row r="83" spans="1:18" ht="14.25" customHeight="1" x14ac:dyDescent="0.25">
      <c r="A83" s="261"/>
      <c r="B83" s="5"/>
      <c r="C83"/>
      <c r="D83" s="26"/>
      <c r="E83" s="26"/>
      <c r="H83" s="9" t="s">
        <v>4302</v>
      </c>
      <c r="I83" s="1356"/>
      <c r="J83" s="1357"/>
      <c r="K83" s="1357"/>
      <c r="L83" s="1357"/>
      <c r="M83" s="1357"/>
      <c r="N83" s="1358"/>
      <c r="O83" s="194"/>
      <c r="P83" s="194"/>
      <c r="Q83" s="194"/>
      <c r="R83" s="194"/>
    </row>
    <row r="84" spans="1:18" ht="14.25" customHeight="1" x14ac:dyDescent="0.25">
      <c r="A84" s="823">
        <f>C88</f>
        <v>0</v>
      </c>
      <c r="B84" s="124" t="s">
        <v>5216</v>
      </c>
      <c r="C84" s="125"/>
      <c r="D84" s="114"/>
      <c r="E84" s="114"/>
      <c r="F84" s="115"/>
      <c r="H84" s="262"/>
      <c r="I84" s="1356"/>
      <c r="J84" s="1357"/>
      <c r="K84" s="1357"/>
      <c r="L84" s="1357"/>
      <c r="M84" s="1357"/>
      <c r="N84" s="1358"/>
      <c r="O84" s="194"/>
      <c r="P84" s="194"/>
      <c r="Q84" s="194"/>
      <c r="R84" s="194"/>
    </row>
    <row r="85" spans="1:18" ht="14.25" customHeight="1" x14ac:dyDescent="0.25">
      <c r="A85" s="261"/>
      <c r="B85" s="491" t="s">
        <v>3948</v>
      </c>
      <c r="C85" s="117" t="s">
        <v>4441</v>
      </c>
      <c r="D85" s="118"/>
      <c r="E85" s="118"/>
      <c r="F85" s="119"/>
      <c r="H85" s="26"/>
      <c r="I85" s="1356"/>
      <c r="J85" s="1357"/>
      <c r="K85" s="1357"/>
      <c r="L85" s="1357"/>
      <c r="M85" s="1357"/>
      <c r="N85" s="1358"/>
      <c r="O85" s="194"/>
      <c r="P85" s="194"/>
      <c r="Q85" s="194"/>
      <c r="R85" s="194"/>
    </row>
    <row r="86" spans="1:18" ht="14.25" customHeight="1" x14ac:dyDescent="0.25">
      <c r="A86" s="261"/>
      <c r="B86" s="37" t="s">
        <v>3950</v>
      </c>
      <c r="C86" s="779">
        <f>'Budget &amp; Costs'!E52</f>
        <v>0</v>
      </c>
      <c r="D86" s="26"/>
      <c r="E86" s="26"/>
      <c r="H86" s="26"/>
      <c r="I86" s="1356"/>
      <c r="J86" s="1357"/>
      <c r="K86" s="1357"/>
      <c r="L86" s="1357"/>
      <c r="M86" s="1357"/>
      <c r="N86" s="1358"/>
      <c r="O86" s="194"/>
      <c r="P86" s="194"/>
      <c r="Q86" s="194"/>
      <c r="R86" s="194"/>
    </row>
    <row r="87" spans="1:18" ht="14.25" customHeight="1" x14ac:dyDescent="0.25">
      <c r="A87" s="261"/>
      <c r="B87" s="37" t="s">
        <v>5204</v>
      </c>
      <c r="C87" s="1017"/>
      <c r="D87" s="26"/>
      <c r="E87" s="26"/>
      <c r="H87" s="26"/>
      <c r="I87" s="1356"/>
      <c r="J87" s="1357"/>
      <c r="K87" s="1357"/>
      <c r="L87" s="1357"/>
      <c r="M87" s="1357"/>
      <c r="N87" s="1358"/>
      <c r="O87" s="194"/>
      <c r="P87" s="194"/>
      <c r="Q87" s="194"/>
      <c r="R87" s="194"/>
    </row>
    <row r="88" spans="1:18" ht="14.25" customHeight="1" thickBot="1" x14ac:dyDescent="0.3">
      <c r="A88" s="261"/>
      <c r="B88" s="37" t="s">
        <v>4656</v>
      </c>
      <c r="C88" s="772">
        <f>IF(C86&gt;4.99%,10,0)</f>
        <v>0</v>
      </c>
      <c r="D88" s="26"/>
      <c r="E88" s="26"/>
      <c r="H88" s="26"/>
      <c r="I88" s="1359"/>
      <c r="J88" s="1360"/>
      <c r="K88" s="1360"/>
      <c r="L88" s="1360"/>
      <c r="M88" s="1360"/>
      <c r="N88" s="1361"/>
      <c r="O88" s="194"/>
      <c r="P88" s="194"/>
      <c r="Q88" s="194"/>
      <c r="R88" s="194"/>
    </row>
    <row r="89" spans="1:18" ht="18" customHeight="1" thickBot="1" x14ac:dyDescent="0.3">
      <c r="A89" s="261"/>
      <c r="B89" s="5"/>
      <c r="C89"/>
      <c r="D89" s="26"/>
      <c r="E89" s="26"/>
      <c r="H89" s="26"/>
      <c r="I89" s="100" t="str">
        <f>IF(H90&lt;&gt;F91,"Doesn't Match Self-Score","")</f>
        <v/>
      </c>
      <c r="J89" s="815"/>
      <c r="K89" s="815"/>
      <c r="L89" s="815"/>
      <c r="M89" s="815"/>
      <c r="N89" s="815"/>
      <c r="O89" s="194"/>
      <c r="P89" s="194"/>
      <c r="Q89" s="194"/>
      <c r="R89" s="194"/>
    </row>
    <row r="90" spans="1:18" ht="24.95" customHeight="1" thickBot="1" x14ac:dyDescent="0.3">
      <c r="A90" s="474" t="s">
        <v>5250</v>
      </c>
      <c r="B90" s="479"/>
      <c r="C90" s="480"/>
      <c r="D90" s="106"/>
      <c r="E90" s="106"/>
      <c r="F90" s="107"/>
      <c r="H90" s="128">
        <f>SUM(H92,H97)</f>
        <v>0</v>
      </c>
      <c r="I90" s="1350" t="s">
        <v>4915</v>
      </c>
      <c r="J90" s="1351"/>
      <c r="K90" s="1351"/>
      <c r="L90" s="1351"/>
      <c r="M90" s="1351"/>
      <c r="N90" s="1352"/>
      <c r="O90" s="194"/>
      <c r="P90" s="194"/>
      <c r="Q90" s="194"/>
      <c r="R90" s="194"/>
    </row>
    <row r="91" spans="1:18" ht="14.25" customHeight="1" x14ac:dyDescent="0.25">
      <c r="A91" s="1367" t="s">
        <v>4408</v>
      </c>
      <c r="B91" s="1368"/>
      <c r="C91" s="1368"/>
      <c r="D91" s="110"/>
      <c r="E91" s="475" t="s">
        <v>3949</v>
      </c>
      <c r="F91" s="813">
        <f>SUM(A92,A97)</f>
        <v>0</v>
      </c>
      <c r="H91" s="9" t="s">
        <v>5227</v>
      </c>
      <c r="I91" s="1353"/>
      <c r="J91" s="1354"/>
      <c r="K91" s="1354"/>
      <c r="L91" s="1354"/>
      <c r="M91" s="1354"/>
      <c r="N91" s="1355"/>
      <c r="O91" s="194"/>
      <c r="P91" s="194"/>
      <c r="Q91" s="194"/>
      <c r="R91" s="194"/>
    </row>
    <row r="92" spans="1:18" ht="14.25" customHeight="1" x14ac:dyDescent="0.25">
      <c r="A92" s="823">
        <f>C95</f>
        <v>0</v>
      </c>
      <c r="B92" s="753" t="s">
        <v>5217</v>
      </c>
      <c r="C92" s="125"/>
      <c r="D92" s="114"/>
      <c r="E92" s="114"/>
      <c r="F92" s="115"/>
      <c r="H92" s="262"/>
      <c r="I92" s="1356"/>
      <c r="J92" s="1357"/>
      <c r="K92" s="1357"/>
      <c r="L92" s="1357"/>
      <c r="M92" s="1357"/>
      <c r="N92" s="1358"/>
      <c r="O92" s="194"/>
      <c r="P92" s="194"/>
      <c r="Q92" s="194"/>
      <c r="R92" s="194"/>
    </row>
    <row r="93" spans="1:18" ht="14.25" customHeight="1" x14ac:dyDescent="0.25">
      <c r="A93" s="261"/>
      <c r="B93" s="491" t="s">
        <v>3948</v>
      </c>
      <c r="C93" s="117" t="s">
        <v>4440</v>
      </c>
      <c r="D93" s="122"/>
      <c r="E93" s="118"/>
      <c r="F93" s="119"/>
      <c r="H93" s="26"/>
      <c r="I93" s="1356"/>
      <c r="J93" s="1357"/>
      <c r="K93" s="1357"/>
      <c r="L93" s="1357"/>
      <c r="M93" s="1357"/>
      <c r="N93" s="1358"/>
      <c r="O93" s="194"/>
      <c r="P93" s="194"/>
      <c r="Q93" s="194"/>
      <c r="R93" s="194"/>
    </row>
    <row r="94" spans="1:18" ht="14.25" customHeight="1" x14ac:dyDescent="0.25">
      <c r="A94" s="261"/>
      <c r="B94" s="37" t="s">
        <v>4869</v>
      </c>
      <c r="C94" s="190"/>
      <c r="D94" s="963"/>
      <c r="E94" s="26"/>
      <c r="H94" s="26"/>
      <c r="I94" s="1356"/>
      <c r="J94" s="1357"/>
      <c r="K94" s="1357"/>
      <c r="L94" s="1357"/>
      <c r="M94" s="1357"/>
      <c r="N94" s="1358"/>
      <c r="O94" s="194"/>
      <c r="P94" s="194"/>
      <c r="Q94" s="194"/>
      <c r="R94" s="194"/>
    </row>
    <row r="95" spans="1:18" ht="14.25" customHeight="1" x14ac:dyDescent="0.25">
      <c r="A95" s="261"/>
      <c r="B95" s="37" t="s">
        <v>4656</v>
      </c>
      <c r="C95" s="783">
        <f>IF(C94="Greater than 66%",5,IF(C94="&gt;48%-66%",3,IF(C94="30%-48%",1, 0)))</f>
        <v>0</v>
      </c>
      <c r="D95" s="26"/>
      <c r="E95" s="26"/>
      <c r="H95" s="26"/>
      <c r="I95" s="1356"/>
      <c r="J95" s="1357"/>
      <c r="K95" s="1357"/>
      <c r="L95" s="1357"/>
      <c r="M95" s="1357"/>
      <c r="N95" s="1358"/>
      <c r="O95" s="194"/>
      <c r="P95" s="194"/>
      <c r="Q95" s="194"/>
      <c r="R95" s="194"/>
    </row>
    <row r="96" spans="1:18" ht="14.25" customHeight="1" x14ac:dyDescent="0.25">
      <c r="A96" s="261"/>
      <c r="B96" s="5"/>
      <c r="C96"/>
      <c r="D96" s="26"/>
      <c r="E96" s="26"/>
      <c r="H96" s="9" t="s">
        <v>5228</v>
      </c>
      <c r="I96" s="1356"/>
      <c r="J96" s="1357"/>
      <c r="K96" s="1357"/>
      <c r="L96" s="1357"/>
      <c r="M96" s="1357"/>
      <c r="N96" s="1358"/>
      <c r="O96" s="194"/>
      <c r="P96" s="194"/>
      <c r="Q96" s="194"/>
      <c r="R96" s="194"/>
    </row>
    <row r="97" spans="1:18" ht="14.25" customHeight="1" x14ac:dyDescent="0.25">
      <c r="A97" s="822">
        <f>C101</f>
        <v>0</v>
      </c>
      <c r="B97" s="753" t="s">
        <v>5218</v>
      </c>
      <c r="C97" s="125"/>
      <c r="D97" s="114"/>
      <c r="E97" s="114"/>
      <c r="F97" s="115"/>
      <c r="H97" s="262"/>
      <c r="I97" s="1356"/>
      <c r="J97" s="1357"/>
      <c r="K97" s="1357"/>
      <c r="L97" s="1357"/>
      <c r="M97" s="1357"/>
      <c r="N97" s="1358"/>
      <c r="O97" s="194"/>
      <c r="P97" s="194"/>
      <c r="Q97" s="194"/>
      <c r="R97" s="194"/>
    </row>
    <row r="98" spans="1:18" ht="14.25" customHeight="1" x14ac:dyDescent="0.25">
      <c r="A98" s="261"/>
      <c r="B98" s="491" t="s">
        <v>3948</v>
      </c>
      <c r="C98" s="117" t="s">
        <v>4634</v>
      </c>
      <c r="D98" s="118"/>
      <c r="E98" s="118"/>
      <c r="F98" s="119"/>
      <c r="H98" s="26"/>
      <c r="I98" s="1356"/>
      <c r="J98" s="1357"/>
      <c r="K98" s="1357"/>
      <c r="L98" s="1357"/>
      <c r="M98" s="1357"/>
      <c r="N98" s="1358"/>
      <c r="O98" s="194"/>
      <c r="P98" s="194"/>
      <c r="Q98" s="194"/>
      <c r="R98" s="194"/>
    </row>
    <row r="99" spans="1:18" ht="14.25" customHeight="1" x14ac:dyDescent="0.25">
      <c r="A99" s="261"/>
      <c r="B99" s="37" t="s">
        <v>5220</v>
      </c>
      <c r="C99" s="960" t="e">
        <f>VLOOKUP('Project Details'!C12,Data!$L$5:$M$92,2,FALSE)</f>
        <v>#N/A</v>
      </c>
      <c r="D99" s="191"/>
      <c r="E99" s="26"/>
      <c r="H99" s="26"/>
      <c r="I99" s="1356"/>
      <c r="J99" s="1357"/>
      <c r="K99" s="1357"/>
      <c r="L99" s="1357"/>
      <c r="M99" s="1357"/>
      <c r="N99" s="1358"/>
      <c r="O99" s="194"/>
      <c r="P99" s="194"/>
      <c r="Q99" s="194"/>
      <c r="R99" s="194"/>
    </row>
    <row r="100" spans="1:18" ht="14.25" customHeight="1" thickBot="1" x14ac:dyDescent="0.3">
      <c r="A100" s="261"/>
      <c r="B100" s="37" t="s">
        <v>4869</v>
      </c>
      <c r="C100" s="1018"/>
      <c r="D100" s="26"/>
      <c r="E100" s="26"/>
      <c r="H100" s="26"/>
      <c r="I100" s="1359"/>
      <c r="J100" s="1360"/>
      <c r="K100" s="1360"/>
      <c r="L100" s="1360"/>
      <c r="M100" s="1360"/>
      <c r="N100" s="1361"/>
      <c r="O100" s="194"/>
      <c r="P100" s="194"/>
      <c r="Q100" s="194"/>
      <c r="R100" s="194"/>
    </row>
    <row r="101" spans="1:18" ht="14.25" customHeight="1" x14ac:dyDescent="0.25">
      <c r="A101" s="261"/>
      <c r="B101" s="37" t="s">
        <v>3899</v>
      </c>
      <c r="C101" s="961">
        <f>IF(C100="Zero",5,IF(C100="Greater than 0 less than 1",4,IF(C100="Greater than 1 Less than 1.5",3,IF(C100="Greater than 1.5 Less than 2",2,IF(C100="Greater than 2",1, 0)))))</f>
        <v>0</v>
      </c>
      <c r="D101" s="26"/>
      <c r="E101" s="26"/>
      <c r="H101" s="26"/>
      <c r="I101" s="962"/>
      <c r="J101" s="962"/>
      <c r="K101" s="962"/>
      <c r="L101" s="962"/>
      <c r="M101" s="962"/>
      <c r="N101" s="962"/>
      <c r="O101" s="194"/>
      <c r="P101" s="194"/>
      <c r="Q101" s="194"/>
      <c r="R101" s="194"/>
    </row>
    <row r="102" spans="1:18" ht="14.25" customHeight="1" thickBot="1" x14ac:dyDescent="0.3">
      <c r="A102" s="261"/>
      <c r="B102" s="5"/>
      <c r="D102" s="26"/>
      <c r="E102" s="26"/>
      <c r="H102" s="26"/>
      <c r="I102" s="100" t="str">
        <f>IF(H103&lt;&gt;F104,"Doesn't Match Self-Score","")</f>
        <v/>
      </c>
      <c r="J102" s="815"/>
      <c r="K102" s="815"/>
      <c r="L102" s="815"/>
      <c r="M102" s="815"/>
      <c r="N102" s="815"/>
      <c r="O102" s="194"/>
      <c r="P102" s="194"/>
      <c r="Q102" s="194"/>
      <c r="R102" s="194"/>
    </row>
    <row r="103" spans="1:18" ht="24.95" customHeight="1" thickBot="1" x14ac:dyDescent="0.3">
      <c r="A103" s="474" t="s">
        <v>5251</v>
      </c>
      <c r="B103" s="479"/>
      <c r="C103" s="480"/>
      <c r="D103" s="106"/>
      <c r="E103" s="106"/>
      <c r="F103" s="107"/>
      <c r="H103" s="128">
        <f>H105</f>
        <v>0</v>
      </c>
      <c r="I103" s="1363" t="s">
        <v>5264</v>
      </c>
      <c r="J103" s="1364"/>
      <c r="K103" s="1364"/>
      <c r="L103" s="1364"/>
      <c r="M103" s="1364"/>
      <c r="N103" s="1365"/>
      <c r="O103" s="194"/>
      <c r="P103" s="194"/>
      <c r="Q103" s="194"/>
      <c r="R103" s="194"/>
    </row>
    <row r="104" spans="1:18" ht="14.25" customHeight="1" x14ac:dyDescent="0.25">
      <c r="A104" s="1367" t="s">
        <v>4407</v>
      </c>
      <c r="B104" s="1368"/>
      <c r="C104" s="1368"/>
      <c r="D104" s="110"/>
      <c r="E104" s="475" t="s">
        <v>3949</v>
      </c>
      <c r="F104" s="813">
        <f>A105</f>
        <v>0</v>
      </c>
      <c r="H104" s="9" t="s">
        <v>5229</v>
      </c>
      <c r="I104" s="1353"/>
      <c r="J104" s="1354"/>
      <c r="K104" s="1354"/>
      <c r="L104" s="1354"/>
      <c r="M104" s="1354"/>
      <c r="N104" s="1355"/>
      <c r="O104" s="194"/>
      <c r="P104" s="194"/>
      <c r="Q104" s="194"/>
      <c r="R104" s="194"/>
    </row>
    <row r="105" spans="1:18" ht="14.25" customHeight="1" x14ac:dyDescent="0.25">
      <c r="A105" s="823">
        <f>C110</f>
        <v>0</v>
      </c>
      <c r="B105" s="124"/>
      <c r="C105" s="125"/>
      <c r="D105" s="114"/>
      <c r="E105" s="114"/>
      <c r="F105" s="115"/>
      <c r="H105" s="262"/>
      <c r="I105" s="1356"/>
      <c r="J105" s="1357"/>
      <c r="K105" s="1357"/>
      <c r="L105" s="1357"/>
      <c r="M105" s="1357"/>
      <c r="N105" s="1358"/>
      <c r="O105" s="194"/>
      <c r="P105" s="194"/>
      <c r="Q105" s="194"/>
      <c r="R105" s="194"/>
    </row>
    <row r="106" spans="1:18" ht="15" x14ac:dyDescent="0.25">
      <c r="A106" s="261"/>
      <c r="B106" s="490" t="s">
        <v>3948</v>
      </c>
      <c r="C106" s="1260" t="s">
        <v>4478</v>
      </c>
      <c r="D106" s="1260"/>
      <c r="E106" s="1260"/>
      <c r="F106" s="1261"/>
      <c r="H106" s="26"/>
      <c r="I106" s="1356"/>
      <c r="J106" s="1357"/>
      <c r="K106" s="1357"/>
      <c r="L106" s="1357"/>
      <c r="M106" s="1357"/>
      <c r="N106" s="1358"/>
      <c r="O106" s="194"/>
      <c r="P106" s="194"/>
      <c r="Q106" s="194"/>
      <c r="R106" s="194"/>
    </row>
    <row r="107" spans="1:18" ht="14.25" customHeight="1" x14ac:dyDescent="0.25">
      <c r="A107" s="261"/>
      <c r="B107" s="37" t="s">
        <v>3896</v>
      </c>
      <c r="C107" s="684">
        <f>'Budget &amp; Costs'!D50</f>
        <v>0</v>
      </c>
      <c r="D107" s="963"/>
      <c r="E107" s="26"/>
      <c r="H107" s="26"/>
      <c r="I107" s="1356"/>
      <c r="J107" s="1357"/>
      <c r="K107" s="1357"/>
      <c r="L107" s="1357"/>
      <c r="M107" s="1357"/>
      <c r="N107" s="1358"/>
      <c r="O107" s="194"/>
      <c r="P107" s="194"/>
      <c r="Q107" s="194"/>
      <c r="R107" s="194"/>
    </row>
    <row r="108" spans="1:18" ht="14.25" customHeight="1" x14ac:dyDescent="0.25">
      <c r="A108" s="261"/>
      <c r="B108" s="37" t="s">
        <v>3897</v>
      </c>
      <c r="C108" s="964">
        <f>'Housing Credits'!C43</f>
        <v>0</v>
      </c>
      <c r="D108" s="26"/>
      <c r="E108" s="26"/>
      <c r="H108" s="26"/>
      <c r="I108" s="1356"/>
      <c r="J108" s="1357"/>
      <c r="K108" s="1357"/>
      <c r="L108" s="1357"/>
      <c r="M108" s="1357"/>
      <c r="N108" s="1358"/>
      <c r="O108" s="194"/>
      <c r="P108" s="194"/>
      <c r="Q108" s="194"/>
      <c r="R108" s="194"/>
    </row>
    <row r="109" spans="1:18" ht="14.25" customHeight="1" x14ac:dyDescent="0.25">
      <c r="A109" s="261"/>
      <c r="B109" s="37" t="s">
        <v>3898</v>
      </c>
      <c r="C109" s="784" t="e">
        <f>C108/C107</f>
        <v>#DIV/0!</v>
      </c>
      <c r="D109" s="26"/>
      <c r="E109" s="26"/>
      <c r="H109" s="26"/>
      <c r="I109" s="1356"/>
      <c r="J109" s="1357"/>
      <c r="K109" s="1357"/>
      <c r="L109" s="1357"/>
      <c r="M109" s="1357"/>
      <c r="N109" s="1358"/>
      <c r="O109" s="194"/>
      <c r="P109" s="194"/>
      <c r="Q109" s="194"/>
      <c r="R109" s="194"/>
    </row>
    <row r="110" spans="1:18" ht="14.25" customHeight="1" thickBot="1" x14ac:dyDescent="0.3">
      <c r="A110" s="261"/>
      <c r="B110" s="37" t="s">
        <v>4867</v>
      </c>
      <c r="C110" s="1019"/>
      <c r="D110" s="26"/>
      <c r="E110" s="26"/>
      <c r="H110" s="26"/>
      <c r="I110" s="1356"/>
      <c r="J110" s="1357"/>
      <c r="K110" s="1357"/>
      <c r="L110" s="1357"/>
      <c r="M110" s="1357"/>
      <c r="N110" s="1358"/>
      <c r="O110" s="194"/>
      <c r="P110" s="194"/>
      <c r="Q110" s="194"/>
      <c r="R110" s="194"/>
    </row>
    <row r="111" spans="1:18" ht="14.25" customHeight="1" x14ac:dyDescent="0.25">
      <c r="A111" s="261"/>
      <c r="B111" s="5"/>
      <c r="C111"/>
      <c r="D111" s="26"/>
      <c r="E111" s="26"/>
      <c r="H111" s="425"/>
      <c r="I111" s="965"/>
      <c r="J111" s="965"/>
      <c r="K111" s="965"/>
      <c r="L111" s="965"/>
      <c r="M111" s="965"/>
      <c r="N111" s="965"/>
      <c r="O111" s="194"/>
      <c r="P111" s="194"/>
      <c r="Q111" s="194"/>
      <c r="R111" s="194"/>
    </row>
    <row r="112" spans="1:18" ht="14.25" customHeight="1" thickBot="1" x14ac:dyDescent="0.3">
      <c r="A112" s="261"/>
      <c r="B112" s="5"/>
      <c r="D112" s="26"/>
      <c r="E112" s="26"/>
      <c r="H112" s="26"/>
      <c r="I112" s="100" t="str">
        <f>IF(H113&lt;&gt;F114,"Doesn't Match Self-Score","")</f>
        <v/>
      </c>
      <c r="J112" s="815"/>
      <c r="K112" s="815"/>
      <c r="L112" s="815"/>
      <c r="M112" s="815"/>
      <c r="N112" s="815"/>
      <c r="O112" s="194"/>
      <c r="P112" s="194"/>
      <c r="Q112" s="194"/>
      <c r="R112" s="194"/>
    </row>
    <row r="113" spans="1:18" ht="24.95" customHeight="1" thickBot="1" x14ac:dyDescent="0.3">
      <c r="A113" s="474" t="s">
        <v>5252</v>
      </c>
      <c r="B113" s="479"/>
      <c r="C113" s="480"/>
      <c r="D113" s="106"/>
      <c r="E113" s="106"/>
      <c r="F113" s="107"/>
      <c r="H113" s="128">
        <f>H115</f>
        <v>0</v>
      </c>
      <c r="I113" s="1350" t="s">
        <v>5265</v>
      </c>
      <c r="J113" s="1351"/>
      <c r="K113" s="1351"/>
      <c r="L113" s="1351"/>
      <c r="M113" s="1351"/>
      <c r="N113" s="1352"/>
      <c r="O113" s="194"/>
      <c r="P113" s="194"/>
      <c r="Q113" s="194"/>
      <c r="R113" s="194"/>
    </row>
    <row r="114" spans="1:18" ht="14.25" customHeight="1" x14ac:dyDescent="0.25">
      <c r="A114" s="1384" t="s">
        <v>4638</v>
      </c>
      <c r="B114" s="1385"/>
      <c r="C114" s="1385"/>
      <c r="D114" s="110"/>
      <c r="E114" s="475" t="s">
        <v>3949</v>
      </c>
      <c r="F114" s="476">
        <f>A115</f>
        <v>0</v>
      </c>
      <c r="H114" s="425" t="s">
        <v>5242</v>
      </c>
      <c r="I114" s="1353"/>
      <c r="J114" s="1354"/>
      <c r="K114" s="1354"/>
      <c r="L114" s="1354"/>
      <c r="M114" s="1354"/>
      <c r="N114" s="1355"/>
      <c r="O114" s="194"/>
      <c r="P114" s="194"/>
      <c r="Q114" s="194"/>
      <c r="R114" s="194"/>
    </row>
    <row r="115" spans="1:18" ht="14.25" customHeight="1" x14ac:dyDescent="0.25">
      <c r="A115" s="822">
        <f>C118</f>
        <v>0</v>
      </c>
      <c r="B115" s="124"/>
      <c r="C115" s="125"/>
      <c r="D115" s="114"/>
      <c r="E115" s="114"/>
      <c r="F115" s="115"/>
      <c r="H115" s="262"/>
      <c r="I115" s="1356"/>
      <c r="J115" s="1357"/>
      <c r="K115" s="1357"/>
      <c r="L115" s="1357"/>
      <c r="M115" s="1357"/>
      <c r="N115" s="1358"/>
      <c r="O115" s="194"/>
      <c r="P115" s="194"/>
      <c r="Q115" s="194"/>
      <c r="R115" s="194"/>
    </row>
    <row r="116" spans="1:18" ht="57.75" customHeight="1" x14ac:dyDescent="0.25">
      <c r="A116" s="261"/>
      <c r="B116" s="490" t="s">
        <v>3948</v>
      </c>
      <c r="C116" s="1372" t="s">
        <v>5230</v>
      </c>
      <c r="D116" s="1372"/>
      <c r="E116" s="1372"/>
      <c r="F116" s="1373"/>
      <c r="H116" s="26"/>
      <c r="I116" s="1356"/>
      <c r="J116" s="1357"/>
      <c r="K116" s="1357"/>
      <c r="L116" s="1357"/>
      <c r="M116" s="1357"/>
      <c r="N116" s="1358"/>
      <c r="O116" s="194"/>
      <c r="P116" s="194"/>
      <c r="Q116" s="194"/>
      <c r="R116" s="194"/>
    </row>
    <row r="117" spans="1:18" ht="14.25" customHeight="1" x14ac:dyDescent="0.25">
      <c r="A117" s="261"/>
      <c r="B117" s="37" t="s">
        <v>5241</v>
      </c>
      <c r="C117" s="993" t="e">
        <f>C119/C120</f>
        <v>#DIV/0!</v>
      </c>
      <c r="D117" s="26"/>
      <c r="E117" s="26"/>
      <c r="H117" s="26"/>
      <c r="I117" s="1356"/>
      <c r="J117" s="1357"/>
      <c r="K117" s="1357"/>
      <c r="L117" s="1357"/>
      <c r="M117" s="1357"/>
      <c r="N117" s="1358"/>
      <c r="O117" s="194"/>
      <c r="P117" s="194"/>
      <c r="Q117" s="194"/>
      <c r="R117" s="194"/>
    </row>
    <row r="118" spans="1:18" ht="14.25" customHeight="1" x14ac:dyDescent="0.25">
      <c r="A118" s="261"/>
      <c r="B118" s="37" t="s">
        <v>4656</v>
      </c>
      <c r="C118" s="1017"/>
      <c r="D118" s="26"/>
      <c r="E118" s="26"/>
      <c r="H118" s="26"/>
      <c r="I118" s="1356"/>
      <c r="J118" s="1357"/>
      <c r="K118" s="1357"/>
      <c r="L118" s="1357"/>
      <c r="M118" s="1357"/>
      <c r="N118" s="1358"/>
      <c r="O118" s="194"/>
      <c r="P118" s="194"/>
      <c r="Q118" s="194"/>
      <c r="R118" s="194"/>
    </row>
    <row r="119" spans="1:18" ht="14.25" customHeight="1" x14ac:dyDescent="0.25">
      <c r="A119" s="261"/>
      <c r="B119" s="37" t="s">
        <v>4624</v>
      </c>
      <c r="C119" s="603">
        <f>SUM(D123:D131)</f>
        <v>0</v>
      </c>
      <c r="D119" s="26"/>
      <c r="E119" s="26"/>
      <c r="H119" s="26"/>
      <c r="I119" s="1356"/>
      <c r="J119" s="1357"/>
      <c r="K119" s="1357"/>
      <c r="L119" s="1357"/>
      <c r="M119" s="1357"/>
      <c r="N119" s="1358"/>
      <c r="O119" s="194"/>
      <c r="P119" s="194"/>
      <c r="Q119" s="194"/>
      <c r="R119" s="194"/>
    </row>
    <row r="120" spans="1:18" ht="14.25" customHeight="1" x14ac:dyDescent="0.25">
      <c r="A120" s="261"/>
      <c r="B120" s="37" t="s">
        <v>4969</v>
      </c>
      <c r="C120" s="966">
        <f>SUM('Budget &amp; Costs'!C9:C43)</f>
        <v>0</v>
      </c>
      <c r="D120" s="26"/>
      <c r="E120" s="26"/>
      <c r="H120" s="26"/>
      <c r="I120" s="1356"/>
      <c r="J120" s="1357"/>
      <c r="K120" s="1357"/>
      <c r="L120" s="1357"/>
      <c r="M120" s="1357"/>
      <c r="N120" s="1358"/>
      <c r="O120" s="194"/>
      <c r="P120" s="194"/>
      <c r="Q120" s="194"/>
      <c r="R120" s="194"/>
    </row>
    <row r="121" spans="1:18" ht="14.25" customHeight="1" x14ac:dyDescent="0.25">
      <c r="A121" s="261"/>
      <c r="C121" s="994"/>
      <c r="D121" s="26"/>
      <c r="E121" s="26"/>
      <c r="H121" s="26"/>
      <c r="I121" s="1356"/>
      <c r="J121" s="1357"/>
      <c r="K121" s="1357"/>
      <c r="L121" s="1357"/>
      <c r="M121" s="1357"/>
      <c r="N121" s="1358"/>
      <c r="O121" s="194"/>
      <c r="P121" s="194"/>
      <c r="Q121" s="194"/>
      <c r="R121" s="194"/>
    </row>
    <row r="122" spans="1:18" ht="30.75" customHeight="1" x14ac:dyDescent="0.25">
      <c r="A122" s="261"/>
      <c r="B122" s="26" t="s">
        <v>4625</v>
      </c>
      <c r="C122" s="26"/>
      <c r="D122" s="26" t="s">
        <v>4628</v>
      </c>
      <c r="E122" s="26" t="s">
        <v>4626</v>
      </c>
      <c r="F122" s="26" t="s">
        <v>4627</v>
      </c>
      <c r="H122" s="26"/>
      <c r="I122" s="1356"/>
      <c r="J122" s="1357"/>
      <c r="K122" s="1357"/>
      <c r="L122" s="1357"/>
      <c r="M122" s="1357"/>
      <c r="N122" s="1358"/>
      <c r="O122" s="194"/>
      <c r="P122" s="194"/>
      <c r="Q122" s="194"/>
      <c r="R122" s="194"/>
    </row>
    <row r="123" spans="1:18" ht="14.25" customHeight="1" x14ac:dyDescent="0.25">
      <c r="A123" s="261"/>
      <c r="B123" s="1382"/>
      <c r="C123" s="1383"/>
      <c r="D123" s="605"/>
      <c r="E123" s="604"/>
      <c r="F123" s="503"/>
      <c r="H123" s="26"/>
      <c r="I123" s="1356"/>
      <c r="J123" s="1357"/>
      <c r="K123" s="1357"/>
      <c r="L123" s="1357"/>
      <c r="M123" s="1357"/>
      <c r="N123" s="1358"/>
      <c r="O123" s="194"/>
      <c r="P123" s="194"/>
      <c r="Q123" s="194"/>
      <c r="R123" s="194"/>
    </row>
    <row r="124" spans="1:18" ht="14.25" customHeight="1" x14ac:dyDescent="0.25">
      <c r="A124" s="261"/>
      <c r="B124" s="1382"/>
      <c r="C124" s="1383"/>
      <c r="D124" s="605"/>
      <c r="E124" s="604"/>
      <c r="F124" s="503"/>
      <c r="H124" s="26"/>
      <c r="I124" s="1356"/>
      <c r="J124" s="1357"/>
      <c r="K124" s="1357"/>
      <c r="L124" s="1357"/>
      <c r="M124" s="1357"/>
      <c r="N124" s="1358"/>
      <c r="O124" s="194"/>
      <c r="P124" s="194"/>
      <c r="Q124" s="194"/>
      <c r="R124" s="194"/>
    </row>
    <row r="125" spans="1:18" ht="14.25" customHeight="1" x14ac:dyDescent="0.25">
      <c r="A125" s="261"/>
      <c r="B125" s="1382"/>
      <c r="C125" s="1383"/>
      <c r="D125" s="605"/>
      <c r="E125" s="604"/>
      <c r="F125" s="503"/>
      <c r="H125" s="26"/>
      <c r="I125" s="1356"/>
      <c r="J125" s="1357"/>
      <c r="K125" s="1357"/>
      <c r="L125" s="1357"/>
      <c r="M125" s="1357"/>
      <c r="N125" s="1358"/>
      <c r="O125" s="194"/>
      <c r="P125" s="194"/>
      <c r="Q125" s="194"/>
      <c r="R125" s="194"/>
    </row>
    <row r="126" spans="1:18" ht="14.25" customHeight="1" x14ac:dyDescent="0.25">
      <c r="A126" s="261"/>
      <c r="B126" s="1382"/>
      <c r="C126" s="1383"/>
      <c r="D126" s="605"/>
      <c r="E126" s="604"/>
      <c r="F126" s="503"/>
      <c r="H126" s="26"/>
      <c r="I126" s="1356"/>
      <c r="J126" s="1357"/>
      <c r="K126" s="1357"/>
      <c r="L126" s="1357"/>
      <c r="M126" s="1357"/>
      <c r="N126" s="1358"/>
      <c r="O126" s="194"/>
      <c r="P126" s="194"/>
      <c r="Q126" s="194"/>
      <c r="R126" s="194"/>
    </row>
    <row r="127" spans="1:18" ht="14.25" customHeight="1" x14ac:dyDescent="0.25">
      <c r="A127" s="261"/>
      <c r="B127" s="1382"/>
      <c r="C127" s="1383"/>
      <c r="D127" s="605"/>
      <c r="E127" s="604"/>
      <c r="F127" s="503"/>
      <c r="H127" s="26"/>
      <c r="I127" s="1356"/>
      <c r="J127" s="1357"/>
      <c r="K127" s="1357"/>
      <c r="L127" s="1357"/>
      <c r="M127" s="1357"/>
      <c r="N127" s="1358"/>
      <c r="O127" s="194"/>
      <c r="P127" s="194"/>
      <c r="Q127" s="194"/>
      <c r="R127" s="194"/>
    </row>
    <row r="128" spans="1:18" ht="15.75" customHeight="1" x14ac:dyDescent="0.25">
      <c r="A128" s="261"/>
      <c r="B128" s="1394"/>
      <c r="C128" s="1383"/>
      <c r="D128" s="605"/>
      <c r="E128" s="604"/>
      <c r="F128" s="503"/>
      <c r="H128" s="26"/>
      <c r="I128" s="1356"/>
      <c r="J128" s="1357"/>
      <c r="K128" s="1357"/>
      <c r="L128" s="1357"/>
      <c r="M128" s="1357"/>
      <c r="N128" s="1358"/>
      <c r="O128" s="194"/>
      <c r="P128" s="194"/>
      <c r="Q128" s="194"/>
      <c r="R128" s="194"/>
    </row>
    <row r="129" spans="1:18" ht="14.25" customHeight="1" x14ac:dyDescent="0.25">
      <c r="A129" s="261"/>
      <c r="B129" s="1382"/>
      <c r="C129" s="1383"/>
      <c r="D129" s="605"/>
      <c r="E129" s="604"/>
      <c r="F129" s="503"/>
      <c r="H129" s="26"/>
      <c r="I129" s="1356"/>
      <c r="J129" s="1357"/>
      <c r="K129" s="1357"/>
      <c r="L129" s="1357"/>
      <c r="M129" s="1357"/>
      <c r="N129" s="1358"/>
      <c r="O129" s="194"/>
      <c r="P129" s="194"/>
      <c r="Q129" s="194"/>
      <c r="R129" s="194"/>
    </row>
    <row r="130" spans="1:18" ht="14.25" customHeight="1" x14ac:dyDescent="0.25">
      <c r="A130" s="261"/>
      <c r="B130" s="1382"/>
      <c r="C130" s="1383"/>
      <c r="D130" s="606"/>
      <c r="E130" s="604"/>
      <c r="F130" s="601"/>
      <c r="H130" s="26"/>
      <c r="I130" s="1356"/>
      <c r="J130" s="1357"/>
      <c r="K130" s="1357"/>
      <c r="L130" s="1357"/>
      <c r="M130" s="1357"/>
      <c r="N130" s="1358"/>
      <c r="O130" s="194"/>
      <c r="P130" s="194"/>
      <c r="Q130" s="194"/>
      <c r="R130" s="194"/>
    </row>
    <row r="131" spans="1:18" ht="14.25" customHeight="1" x14ac:dyDescent="0.25">
      <c r="A131" s="261"/>
      <c r="B131" s="1382"/>
      <c r="C131" s="1383"/>
      <c r="D131" s="606"/>
      <c r="E131" s="604"/>
      <c r="F131" s="601"/>
      <c r="H131" s="26"/>
      <c r="I131" s="1356"/>
      <c r="J131" s="1357"/>
      <c r="K131" s="1357"/>
      <c r="L131" s="1357"/>
      <c r="M131" s="1357"/>
      <c r="N131" s="1358"/>
      <c r="O131" s="194"/>
      <c r="P131" s="194"/>
      <c r="Q131" s="194"/>
      <c r="R131" s="194"/>
    </row>
    <row r="132" spans="1:18" ht="14.25" customHeight="1" thickBot="1" x14ac:dyDescent="0.3">
      <c r="A132" s="261"/>
      <c r="B132" s="5"/>
      <c r="D132" s="26"/>
      <c r="E132" s="26"/>
      <c r="H132" s="26"/>
      <c r="I132" s="1359"/>
      <c r="J132" s="1360"/>
      <c r="K132" s="1360"/>
      <c r="L132" s="1360"/>
      <c r="M132" s="1360"/>
      <c r="N132" s="1361"/>
      <c r="O132" s="194"/>
      <c r="P132" s="194"/>
      <c r="Q132" s="194"/>
      <c r="R132" s="194"/>
    </row>
    <row r="133" spans="1:18" ht="14.25" customHeight="1" thickBot="1" x14ac:dyDescent="0.25">
      <c r="A133" s="49"/>
      <c r="B133" s="49"/>
      <c r="C133" s="49"/>
      <c r="D133" s="26"/>
      <c r="E133" s="26"/>
      <c r="H133" s="26"/>
      <c r="I133" s="100" t="str">
        <f>IF(H134&lt;&gt;F135,"Doesn't Match Self-Score","")</f>
        <v/>
      </c>
      <c r="J133" s="816"/>
      <c r="K133" s="816"/>
      <c r="L133" s="816"/>
      <c r="M133" s="816"/>
      <c r="N133" s="816"/>
      <c r="O133" s="194"/>
      <c r="P133" s="194"/>
      <c r="Q133" s="194"/>
      <c r="R133" s="194"/>
    </row>
    <row r="134" spans="1:18" ht="24.95" customHeight="1" thickBot="1" x14ac:dyDescent="0.3">
      <c r="A134" s="474" t="s">
        <v>5253</v>
      </c>
      <c r="B134" s="479"/>
      <c r="C134" s="480"/>
      <c r="D134" s="106"/>
      <c r="E134" s="106"/>
      <c r="F134" s="107"/>
      <c r="H134" s="128">
        <f>IF(H136+H141+H146+H161+H167+H176+H185+H159+H191&gt;35,35,SUM(H136+H141+H146+H161+H167+H176+H185+H159+H191))</f>
        <v>0</v>
      </c>
      <c r="I134" s="1350" t="s">
        <v>5266</v>
      </c>
      <c r="J134" s="1351"/>
      <c r="K134" s="1351"/>
      <c r="L134" s="1351"/>
      <c r="M134" s="1351"/>
      <c r="N134" s="1352"/>
      <c r="O134" s="194"/>
      <c r="P134" s="194"/>
      <c r="Q134" s="194"/>
      <c r="R134" s="194"/>
    </row>
    <row r="135" spans="1:18" ht="14.25" customHeight="1" x14ac:dyDescent="0.25">
      <c r="A135" s="1367" t="s">
        <v>5276</v>
      </c>
      <c r="B135" s="1368"/>
      <c r="C135" s="1368"/>
      <c r="D135" s="110"/>
      <c r="E135" s="475" t="s">
        <v>3949</v>
      </c>
      <c r="F135" s="476">
        <f>IF(A136+A141+A146+A161+A167+A159+A176+A185+A191&gt;35,35,SUM(A136+A141+A146+A161+A167+A159+A176+A185+A191))</f>
        <v>0</v>
      </c>
      <c r="H135" s="9" t="s">
        <v>3900</v>
      </c>
      <c r="I135" s="1340"/>
      <c r="J135" s="1341"/>
      <c r="K135" s="1341"/>
      <c r="L135" s="1341"/>
      <c r="M135" s="1341"/>
      <c r="N135" s="1342"/>
      <c r="O135" s="194"/>
      <c r="P135" s="194"/>
      <c r="Q135" s="194"/>
      <c r="R135" s="194"/>
    </row>
    <row r="136" spans="1:18" ht="14.25" customHeight="1" x14ac:dyDescent="0.25">
      <c r="A136" s="822">
        <f>C139</f>
        <v>0</v>
      </c>
      <c r="B136" s="753" t="s">
        <v>5243</v>
      </c>
      <c r="C136" s="112"/>
      <c r="D136" s="113"/>
      <c r="E136" s="114"/>
      <c r="F136" s="115"/>
      <c r="H136" s="262"/>
      <c r="I136" s="1343"/>
      <c r="J136" s="1344"/>
      <c r="K136" s="1344"/>
      <c r="L136" s="1344"/>
      <c r="M136" s="1344"/>
      <c r="N136" s="1345"/>
      <c r="O136" s="194"/>
      <c r="P136" s="194"/>
      <c r="Q136" s="194"/>
      <c r="R136" s="194"/>
    </row>
    <row r="137" spans="1:18" ht="30.75" customHeight="1" x14ac:dyDescent="0.25">
      <c r="A137" s="261"/>
      <c r="B137" s="490" t="s">
        <v>3948</v>
      </c>
      <c r="C137" s="1260" t="s">
        <v>4964</v>
      </c>
      <c r="D137" s="1260"/>
      <c r="E137" s="1260"/>
      <c r="F137" s="1261"/>
      <c r="H137"/>
      <c r="I137" s="1343"/>
      <c r="J137" s="1344"/>
      <c r="K137" s="1344"/>
      <c r="L137" s="1344"/>
      <c r="M137" s="1344"/>
      <c r="N137" s="1345"/>
      <c r="O137" s="194"/>
      <c r="P137" s="194"/>
      <c r="Q137" s="194"/>
      <c r="R137" s="194"/>
    </row>
    <row r="138" spans="1:18" ht="15" x14ac:dyDescent="0.25">
      <c r="A138" s="261"/>
      <c r="B138" s="37" t="s">
        <v>4437</v>
      </c>
      <c r="C138" s="821"/>
      <c r="D138" s="103"/>
      <c r="E138" s="26"/>
      <c r="H138" s="26"/>
      <c r="I138" s="1343"/>
      <c r="J138" s="1344"/>
      <c r="K138" s="1344"/>
      <c r="L138" s="1344"/>
      <c r="M138" s="1344"/>
      <c r="N138" s="1345"/>
      <c r="O138" s="194"/>
      <c r="P138" s="194"/>
      <c r="Q138" s="194"/>
      <c r="R138" s="194"/>
    </row>
    <row r="139" spans="1:18" ht="15" x14ac:dyDescent="0.25">
      <c r="A139" s="261"/>
      <c r="B139" s="37" t="s">
        <v>4656</v>
      </c>
      <c r="C139" s="783">
        <f>IF(C138="1",3,IF(C138="2 or HIgher",5,IF(C138="Free Ride Option 1",3,IF(C138="Free Ride Option 2",5,0))))</f>
        <v>0</v>
      </c>
      <c r="D139" s="103"/>
      <c r="E139" s="26"/>
      <c r="H139" s="26"/>
      <c r="I139" s="1343"/>
      <c r="J139" s="1344"/>
      <c r="K139" s="1344"/>
      <c r="L139" s="1344"/>
      <c r="M139" s="1344"/>
      <c r="N139" s="1345"/>
      <c r="O139" s="194"/>
      <c r="P139" s="194"/>
      <c r="Q139" s="194"/>
      <c r="R139" s="194"/>
    </row>
    <row r="140" spans="1:18" ht="15.75" customHeight="1" x14ac:dyDescent="0.25">
      <c r="A140" s="261"/>
      <c r="B140" s="5"/>
      <c r="D140" s="26"/>
      <c r="E140" s="26"/>
      <c r="G140" s="26"/>
      <c r="H140" s="9" t="s">
        <v>4917</v>
      </c>
      <c r="I140" s="1343"/>
      <c r="J140" s="1344"/>
      <c r="K140" s="1344"/>
      <c r="L140" s="1344"/>
      <c r="M140" s="1344"/>
      <c r="N140" s="1345"/>
      <c r="O140" s="194"/>
      <c r="P140" s="194"/>
      <c r="Q140" s="194"/>
      <c r="R140" s="194"/>
    </row>
    <row r="141" spans="1:18" ht="14.25" customHeight="1" x14ac:dyDescent="0.25">
      <c r="A141" s="822">
        <f>C144</f>
        <v>0</v>
      </c>
      <c r="B141" s="111" t="s">
        <v>5244</v>
      </c>
      <c r="C141" s="112"/>
      <c r="D141" s="113"/>
      <c r="E141" s="114"/>
      <c r="F141" s="115"/>
      <c r="H141" s="262"/>
      <c r="I141" s="1343"/>
      <c r="J141" s="1344"/>
      <c r="K141" s="1344"/>
      <c r="L141" s="1344"/>
      <c r="M141" s="1344"/>
      <c r="N141" s="1345"/>
      <c r="O141" s="194"/>
      <c r="P141" s="194"/>
      <c r="Q141" s="194"/>
      <c r="R141" s="194"/>
    </row>
    <row r="142" spans="1:18" ht="14.25" customHeight="1" x14ac:dyDescent="0.25">
      <c r="A142" s="261"/>
      <c r="B142" s="491" t="s">
        <v>3948</v>
      </c>
      <c r="C142" s="117" t="s">
        <v>4425</v>
      </c>
      <c r="D142" s="118"/>
      <c r="E142" s="118"/>
      <c r="F142" s="119"/>
      <c r="H142"/>
      <c r="I142" s="1343"/>
      <c r="J142" s="1344"/>
      <c r="K142" s="1344"/>
      <c r="L142" s="1344"/>
      <c r="M142" s="1344"/>
      <c r="N142" s="1345"/>
      <c r="O142" s="194"/>
      <c r="P142" s="194"/>
      <c r="Q142" s="194"/>
      <c r="R142" s="194"/>
    </row>
    <row r="143" spans="1:18" ht="15" x14ac:dyDescent="0.25">
      <c r="A143" s="261"/>
      <c r="B143" s="37" t="s">
        <v>4426</v>
      </c>
      <c r="C143" s="105">
        <f>'Budget &amp; Costs'!E59</f>
        <v>0</v>
      </c>
      <c r="D143" s="103"/>
      <c r="E143" s="26"/>
      <c r="H143" s="26"/>
      <c r="I143" s="1343"/>
      <c r="J143" s="1344"/>
      <c r="K143" s="1344"/>
      <c r="L143" s="1344"/>
      <c r="M143" s="1344"/>
      <c r="N143" s="1345"/>
      <c r="O143" s="194"/>
      <c r="P143" s="194"/>
      <c r="Q143" s="194"/>
      <c r="R143" s="194"/>
    </row>
    <row r="144" spans="1:18" ht="15" x14ac:dyDescent="0.25">
      <c r="A144" s="261"/>
      <c r="B144" s="37" t="s">
        <v>4656</v>
      </c>
      <c r="C144" s="783">
        <f>IF(C143&gt;0.1499,5,0)</f>
        <v>0</v>
      </c>
      <c r="D144" s="103"/>
      <c r="E144" s="26"/>
      <c r="H144" s="26"/>
      <c r="I144" s="1343"/>
      <c r="J144" s="1344"/>
      <c r="K144" s="1344"/>
      <c r="L144" s="1344"/>
      <c r="M144" s="1344"/>
      <c r="N144" s="1345"/>
      <c r="O144" s="194"/>
      <c r="P144" s="194"/>
      <c r="Q144" s="194"/>
      <c r="R144" s="194"/>
    </row>
    <row r="145" spans="1:18" ht="14.25" customHeight="1" x14ac:dyDescent="0.25">
      <c r="A145" s="261"/>
      <c r="B145" s="5"/>
      <c r="D145" s="26"/>
      <c r="E145" s="26"/>
      <c r="H145" s="9" t="s">
        <v>4918</v>
      </c>
      <c r="I145" s="1343"/>
      <c r="J145" s="1344"/>
      <c r="K145" s="1344"/>
      <c r="L145" s="1344"/>
      <c r="M145" s="1344"/>
      <c r="N145" s="1345"/>
      <c r="O145" s="194"/>
      <c r="P145" s="194"/>
      <c r="Q145" s="194"/>
      <c r="R145" s="194"/>
    </row>
    <row r="146" spans="1:18" ht="14.25" customHeight="1" x14ac:dyDescent="0.25">
      <c r="A146" s="822">
        <f>C149</f>
        <v>0</v>
      </c>
      <c r="B146" s="753" t="s">
        <v>5248</v>
      </c>
      <c r="C146" s="112"/>
      <c r="D146" s="113"/>
      <c r="E146" s="114"/>
      <c r="F146" s="115"/>
      <c r="G146" s="26"/>
      <c r="H146" s="262"/>
      <c r="I146" s="1343"/>
      <c r="J146" s="1344"/>
      <c r="K146" s="1344"/>
      <c r="L146" s="1344"/>
      <c r="M146" s="1344"/>
      <c r="N146" s="1345"/>
      <c r="O146" s="194"/>
      <c r="P146" s="194"/>
      <c r="Q146" s="194"/>
      <c r="R146" s="194"/>
    </row>
    <row r="147" spans="1:18" ht="31.5" customHeight="1" x14ac:dyDescent="0.25">
      <c r="A147" s="261"/>
      <c r="B147" s="602" t="s">
        <v>3948</v>
      </c>
      <c r="C147" s="1390" t="s">
        <v>4965</v>
      </c>
      <c r="D147" s="1390"/>
      <c r="E147" s="1390"/>
      <c r="F147" s="1391"/>
      <c r="G147" s="26"/>
      <c r="H147" s="26"/>
      <c r="I147" s="1343"/>
      <c r="J147" s="1344"/>
      <c r="K147" s="1344"/>
      <c r="L147" s="1344"/>
      <c r="M147" s="1344"/>
      <c r="N147" s="1345"/>
      <c r="O147" s="194"/>
      <c r="P147" s="194"/>
      <c r="Q147" s="194"/>
      <c r="R147" s="194"/>
    </row>
    <row r="148" spans="1:18" ht="31.5" customHeight="1" x14ac:dyDescent="0.25">
      <c r="A148" s="261"/>
      <c r="B148" s="490"/>
      <c r="C148" s="1372" t="s">
        <v>4966</v>
      </c>
      <c r="D148" s="1372"/>
      <c r="E148" s="1372"/>
      <c r="F148" s="1373"/>
      <c r="G148" s="26"/>
      <c r="H148" s="26"/>
      <c r="I148" s="1343"/>
      <c r="J148" s="1344"/>
      <c r="K148" s="1344"/>
      <c r="L148" s="1344"/>
      <c r="M148" s="1344"/>
      <c r="N148" s="1345"/>
      <c r="O148" s="194"/>
      <c r="P148" s="194"/>
      <c r="Q148" s="194"/>
      <c r="R148" s="194"/>
    </row>
    <row r="149" spans="1:18" ht="14.25" customHeight="1" x14ac:dyDescent="0.2">
      <c r="A149" s="194"/>
      <c r="B149" s="37" t="s">
        <v>4656</v>
      </c>
      <c r="C149" s="263"/>
      <c r="D149" s="26"/>
      <c r="E149" s="26"/>
      <c r="F149" s="26"/>
      <c r="G149" s="26"/>
      <c r="H149" s="26"/>
      <c r="I149" s="1343"/>
      <c r="J149" s="1344"/>
      <c r="K149" s="1344"/>
      <c r="L149" s="1344"/>
      <c r="M149" s="1344"/>
      <c r="N149" s="1345"/>
      <c r="O149" s="194"/>
      <c r="P149" s="194"/>
      <c r="Q149" s="194"/>
      <c r="R149" s="194"/>
    </row>
    <row r="150" spans="1:18" ht="14.25" customHeight="1" x14ac:dyDescent="0.2">
      <c r="A150" s="194"/>
      <c r="B150" s="5"/>
      <c r="C150"/>
      <c r="D150" s="26"/>
      <c r="E150" s="26"/>
      <c r="F150" s="26"/>
      <c r="G150" s="26"/>
      <c r="H150" s="26"/>
      <c r="I150" s="1343"/>
      <c r="J150" s="1344"/>
      <c r="K150" s="1344"/>
      <c r="L150" s="1344"/>
      <c r="M150" s="1344"/>
      <c r="N150" s="1345"/>
      <c r="O150" s="194"/>
      <c r="P150" s="194"/>
      <c r="Q150" s="194"/>
      <c r="R150" s="194"/>
    </row>
    <row r="151" spans="1:18" ht="14.25" customHeight="1" x14ac:dyDescent="0.25">
      <c r="A151" s="194"/>
      <c r="B151" s="9" t="s">
        <v>4430</v>
      </c>
      <c r="C151" s="9" t="s">
        <v>4431</v>
      </c>
      <c r="D151" s="9" t="s">
        <v>3061</v>
      </c>
      <c r="E151" s="9" t="s">
        <v>4432</v>
      </c>
      <c r="F151" s="826" t="s">
        <v>4656</v>
      </c>
      <c r="G151" s="26"/>
      <c r="H151" s="26"/>
      <c r="I151" s="1343"/>
      <c r="J151" s="1344"/>
      <c r="K151" s="1344"/>
      <c r="L151" s="1344"/>
      <c r="M151" s="1344"/>
      <c r="N151" s="1345"/>
      <c r="O151" s="194"/>
      <c r="P151" s="194"/>
      <c r="Q151" s="194"/>
      <c r="R151" s="194"/>
    </row>
    <row r="152" spans="1:18" ht="14.25" customHeight="1" x14ac:dyDescent="0.2">
      <c r="A152" s="194"/>
      <c r="B152" s="1025" t="s">
        <v>4433</v>
      </c>
      <c r="C152" s="503"/>
      <c r="D152" s="503"/>
      <c r="E152" s="503"/>
      <c r="F152" s="844">
        <v>3</v>
      </c>
      <c r="G152" s="26"/>
      <c r="H152" s="26"/>
      <c r="I152" s="1343"/>
      <c r="J152" s="1344"/>
      <c r="K152" s="1344"/>
      <c r="L152" s="1344"/>
      <c r="M152" s="1344"/>
      <c r="N152" s="1345"/>
      <c r="O152" s="194"/>
      <c r="P152" s="194"/>
      <c r="Q152" s="194"/>
      <c r="R152" s="194"/>
    </row>
    <row r="153" spans="1:18" ht="14.25" customHeight="1" x14ac:dyDescent="0.2">
      <c r="A153" s="194"/>
      <c r="B153" s="1025" t="s">
        <v>5245</v>
      </c>
      <c r="C153" s="503"/>
      <c r="D153" s="503"/>
      <c r="E153" s="503"/>
      <c r="F153" s="844">
        <v>2</v>
      </c>
      <c r="G153" s="26"/>
      <c r="H153" s="26"/>
      <c r="I153" s="1343"/>
      <c r="J153" s="1344"/>
      <c r="K153" s="1344"/>
      <c r="L153" s="1344"/>
      <c r="M153" s="1344"/>
      <c r="N153" s="1345"/>
      <c r="O153" s="194"/>
      <c r="P153" s="194"/>
      <c r="Q153" s="194"/>
      <c r="R153" s="194"/>
    </row>
    <row r="154" spans="1:18" ht="14.25" customHeight="1" x14ac:dyDescent="0.2">
      <c r="A154" s="194"/>
      <c r="B154" s="1025" t="s">
        <v>5246</v>
      </c>
      <c r="C154" s="503"/>
      <c r="D154" s="503"/>
      <c r="E154" s="503"/>
      <c r="F154" s="844">
        <v>1</v>
      </c>
      <c r="G154" s="26"/>
      <c r="H154" s="26"/>
      <c r="I154" s="1343"/>
      <c r="J154" s="1344"/>
      <c r="K154" s="1344"/>
      <c r="L154" s="1344"/>
      <c r="M154" s="1344"/>
      <c r="N154" s="1345"/>
      <c r="O154" s="194"/>
      <c r="P154" s="194"/>
      <c r="Q154" s="194"/>
      <c r="R154" s="194"/>
    </row>
    <row r="155" spans="1:18" ht="14.25" customHeight="1" x14ac:dyDescent="0.2">
      <c r="A155" s="194"/>
      <c r="B155" s="1025" t="s">
        <v>4434</v>
      </c>
      <c r="C155" s="503"/>
      <c r="D155" s="503"/>
      <c r="E155" s="503"/>
      <c r="F155" s="844">
        <v>1</v>
      </c>
      <c r="G155" s="26"/>
      <c r="H155" s="26"/>
      <c r="I155" s="1343"/>
      <c r="J155" s="1344"/>
      <c r="K155" s="1344"/>
      <c r="L155" s="1344"/>
      <c r="M155" s="1344"/>
      <c r="N155" s="1345"/>
      <c r="O155" s="194"/>
      <c r="P155" s="194"/>
      <c r="Q155" s="194"/>
      <c r="R155" s="194"/>
    </row>
    <row r="156" spans="1:18" ht="14.25" customHeight="1" x14ac:dyDescent="0.2">
      <c r="A156" s="194"/>
      <c r="B156" s="1025" t="s">
        <v>4435</v>
      </c>
      <c r="C156" s="503"/>
      <c r="D156" s="503"/>
      <c r="E156" s="503"/>
      <c r="F156" s="844">
        <v>1</v>
      </c>
      <c r="G156" s="26"/>
      <c r="H156" s="26"/>
      <c r="I156" s="1343"/>
      <c r="J156" s="1344"/>
      <c r="K156" s="1344"/>
      <c r="L156" s="1344"/>
      <c r="M156" s="1344"/>
      <c r="N156" s="1345"/>
      <c r="O156" s="194"/>
      <c r="P156" s="194"/>
      <c r="Q156" s="194"/>
      <c r="R156" s="194"/>
    </row>
    <row r="157" spans="1:18" ht="14.25" customHeight="1" x14ac:dyDescent="0.2">
      <c r="A157" s="194"/>
      <c r="B157" s="1025" t="s">
        <v>4436</v>
      </c>
      <c r="C157" s="503"/>
      <c r="D157" s="503"/>
      <c r="E157" s="503"/>
      <c r="F157" s="844">
        <v>1</v>
      </c>
      <c r="G157" s="26"/>
      <c r="H157" s="26"/>
      <c r="I157" s="1343"/>
      <c r="J157" s="1344"/>
      <c r="K157" s="1344"/>
      <c r="L157" s="1344"/>
      <c r="M157" s="1344"/>
      <c r="N157" s="1345"/>
      <c r="O157" s="194"/>
      <c r="P157" s="194"/>
      <c r="Q157" s="194"/>
      <c r="R157" s="194"/>
    </row>
    <row r="158" spans="1:18" ht="14.25" customHeight="1" x14ac:dyDescent="0.2">
      <c r="A158" s="194"/>
      <c r="B158" s="1025" t="s">
        <v>5247</v>
      </c>
      <c r="C158" s="503"/>
      <c r="D158" s="503"/>
      <c r="E158" s="503"/>
      <c r="F158" s="844">
        <v>1</v>
      </c>
      <c r="G158" s="26"/>
      <c r="H158" s="26" t="s">
        <v>5267</v>
      </c>
      <c r="I158" s="1343"/>
      <c r="J158" s="1344"/>
      <c r="K158" s="1344"/>
      <c r="L158" s="1344"/>
      <c r="M158" s="1344"/>
      <c r="N158" s="1345"/>
      <c r="O158" s="194"/>
      <c r="P158" s="194"/>
      <c r="Q158" s="194"/>
      <c r="R158" s="194"/>
    </row>
    <row r="159" spans="1:18" ht="14.25" customHeight="1" x14ac:dyDescent="0.25">
      <c r="A159" s="979">
        <f>F159</f>
        <v>0</v>
      </c>
      <c r="B159" s="1025" t="s">
        <v>5262</v>
      </c>
      <c r="C159" s="503"/>
      <c r="D159" s="503"/>
      <c r="E159" s="503"/>
      <c r="F159" s="1032">
        <v>0</v>
      </c>
      <c r="G159" s="26"/>
      <c r="H159" s="984"/>
      <c r="I159" s="1343"/>
      <c r="J159" s="1344"/>
      <c r="K159" s="1344"/>
      <c r="L159" s="1344"/>
      <c r="M159" s="1344"/>
      <c r="N159" s="1345"/>
      <c r="O159" s="194"/>
      <c r="P159" s="194"/>
      <c r="Q159" s="194"/>
      <c r="R159" s="194"/>
    </row>
    <row r="160" spans="1:18" ht="14.25" customHeight="1" x14ac:dyDescent="0.2">
      <c r="A160" s="194"/>
      <c r="B160" s="26"/>
      <c r="C160" s="26"/>
      <c r="D160" s="26"/>
      <c r="E160" s="26"/>
      <c r="F160" s="26"/>
      <c r="G160" s="26"/>
      <c r="H160" s="9" t="s">
        <v>4919</v>
      </c>
      <c r="I160" s="1343"/>
      <c r="J160" s="1344"/>
      <c r="K160" s="1344"/>
      <c r="L160" s="1344"/>
      <c r="M160" s="1344"/>
      <c r="N160" s="1345"/>
      <c r="O160" s="194"/>
      <c r="P160" s="194"/>
      <c r="Q160" s="194"/>
      <c r="R160" s="194"/>
    </row>
    <row r="161" spans="1:18" ht="14.25" customHeight="1" x14ac:dyDescent="0.25">
      <c r="A161" s="822">
        <f>C165</f>
        <v>0</v>
      </c>
      <c r="B161" s="753" t="s">
        <v>5249</v>
      </c>
      <c r="C161" s="112"/>
      <c r="D161" s="113"/>
      <c r="E161" s="114"/>
      <c r="F161" s="115"/>
      <c r="H161" s="262"/>
      <c r="I161" s="1343"/>
      <c r="J161" s="1344"/>
      <c r="K161" s="1344"/>
      <c r="L161" s="1344"/>
      <c r="M161" s="1344"/>
      <c r="N161" s="1345"/>
      <c r="O161" s="194"/>
      <c r="P161" s="194"/>
      <c r="Q161" s="194"/>
      <c r="R161" s="194"/>
    </row>
    <row r="162" spans="1:18" ht="14.25" customHeight="1" x14ac:dyDescent="0.25">
      <c r="A162" s="261"/>
      <c r="B162" s="492" t="s">
        <v>3948</v>
      </c>
      <c r="C162" s="1338" t="s">
        <v>4967</v>
      </c>
      <c r="D162" s="1338"/>
      <c r="E162" s="1338"/>
      <c r="F162" s="1339"/>
      <c r="H162" s="26"/>
      <c r="I162" s="1343"/>
      <c r="J162" s="1344"/>
      <c r="K162" s="1344"/>
      <c r="L162" s="1344"/>
      <c r="M162" s="1344"/>
      <c r="N162" s="1345"/>
      <c r="O162" s="194"/>
      <c r="P162" s="194"/>
      <c r="Q162" s="194"/>
      <c r="R162" s="194"/>
    </row>
    <row r="163" spans="1:18" ht="14.25" customHeight="1" x14ac:dyDescent="0.25">
      <c r="A163" s="261"/>
      <c r="B163" s="491"/>
      <c r="C163" s="1372"/>
      <c r="D163" s="1372"/>
      <c r="E163" s="1372"/>
      <c r="F163" s="1373"/>
      <c r="H163" s="26"/>
      <c r="I163" s="1343"/>
      <c r="J163" s="1344"/>
      <c r="K163" s="1344"/>
      <c r="L163" s="1344"/>
      <c r="M163" s="1344"/>
      <c r="N163" s="1345"/>
      <c r="O163" s="194"/>
      <c r="P163" s="194"/>
      <c r="Q163" s="194"/>
      <c r="R163" s="194"/>
    </row>
    <row r="164" spans="1:18" ht="14.25" customHeight="1" x14ac:dyDescent="0.25">
      <c r="A164" s="261"/>
      <c r="B164" s="37" t="s">
        <v>4429</v>
      </c>
      <c r="C164" s="263"/>
      <c r="D164" s="26"/>
      <c r="E164" s="26"/>
      <c r="H164" s="26"/>
      <c r="I164" s="1343"/>
      <c r="J164" s="1344"/>
      <c r="K164" s="1344"/>
      <c r="L164" s="1344"/>
      <c r="M164" s="1344"/>
      <c r="N164" s="1345"/>
      <c r="O164" s="194"/>
      <c r="P164" s="194"/>
      <c r="Q164" s="194"/>
      <c r="R164" s="194"/>
    </row>
    <row r="165" spans="1:18" ht="14.25" customHeight="1" x14ac:dyDescent="0.25">
      <c r="A165" s="261"/>
      <c r="B165" s="37" t="s">
        <v>4656</v>
      </c>
      <c r="C165" s="783">
        <f>IF(C164="15% and below",3,IF(C164="10% and below",5,0))</f>
        <v>0</v>
      </c>
      <c r="D165" s="26"/>
      <c r="E165" s="26"/>
      <c r="H165" s="26"/>
      <c r="I165" s="1343"/>
      <c r="J165" s="1344"/>
      <c r="K165" s="1344"/>
      <c r="L165" s="1344"/>
      <c r="M165" s="1344"/>
      <c r="N165" s="1345"/>
      <c r="O165" s="194"/>
      <c r="P165" s="194"/>
      <c r="Q165" s="194"/>
      <c r="R165" s="194"/>
    </row>
    <row r="166" spans="1:18" ht="14.25" customHeight="1" x14ac:dyDescent="0.25">
      <c r="A166" s="261"/>
      <c r="B166" s="5"/>
      <c r="D166" s="26"/>
      <c r="E166" s="26"/>
      <c r="H166" s="9" t="s">
        <v>4920</v>
      </c>
      <c r="I166" s="1343"/>
      <c r="J166" s="1344"/>
      <c r="K166" s="1344"/>
      <c r="L166" s="1344"/>
      <c r="M166" s="1344"/>
      <c r="N166" s="1345"/>
      <c r="O166" s="194"/>
      <c r="P166" s="194"/>
      <c r="Q166" s="194"/>
      <c r="R166" s="194"/>
    </row>
    <row r="167" spans="1:18" ht="14.25" customHeight="1" x14ac:dyDescent="0.25">
      <c r="A167" s="822">
        <f>MAX(C171,C174)</f>
        <v>0</v>
      </c>
      <c r="B167" s="111" t="s">
        <v>5254</v>
      </c>
      <c r="C167" s="112"/>
      <c r="D167" s="113"/>
      <c r="E167" s="114"/>
      <c r="F167" s="115"/>
      <c r="H167" s="262"/>
      <c r="I167" s="1343"/>
      <c r="J167" s="1344"/>
      <c r="K167" s="1344"/>
      <c r="L167" s="1344"/>
      <c r="M167" s="1344"/>
      <c r="N167" s="1345"/>
      <c r="O167" s="194"/>
      <c r="P167" s="194"/>
      <c r="Q167" s="194"/>
      <c r="R167" s="194"/>
    </row>
    <row r="168" spans="1:18" ht="14.25" customHeight="1" x14ac:dyDescent="0.25">
      <c r="A168" s="261"/>
      <c r="B168" s="492" t="s">
        <v>3948</v>
      </c>
      <c r="C168" s="1392" t="s">
        <v>4439</v>
      </c>
      <c r="D168" s="1392"/>
      <c r="E168" s="1392"/>
      <c r="F168" s="1393"/>
      <c r="H168" s="26"/>
      <c r="I168" s="1343"/>
      <c r="J168" s="1344"/>
      <c r="K168" s="1344"/>
      <c r="L168" s="1344"/>
      <c r="M168" s="1344"/>
      <c r="N168" s="1345"/>
      <c r="O168" s="194"/>
      <c r="P168" s="194"/>
      <c r="Q168" s="194"/>
      <c r="R168" s="194"/>
    </row>
    <row r="169" spans="1:18" ht="30" customHeight="1" x14ac:dyDescent="0.25">
      <c r="A169" s="261"/>
      <c r="B169" s="116"/>
      <c r="C169" s="1260" t="s">
        <v>4968</v>
      </c>
      <c r="D169" s="1260"/>
      <c r="E169" s="1260"/>
      <c r="F169" s="1261"/>
      <c r="H169" s="26"/>
      <c r="I169" s="1343"/>
      <c r="J169" s="1344"/>
      <c r="K169" s="1344"/>
      <c r="L169" s="1344"/>
      <c r="M169" s="1344"/>
      <c r="N169" s="1345"/>
      <c r="O169" s="194"/>
      <c r="P169" s="194"/>
      <c r="Q169" s="194"/>
      <c r="R169" s="194"/>
    </row>
    <row r="170" spans="1:18" ht="14.25" customHeight="1" x14ac:dyDescent="0.25">
      <c r="A170" s="261"/>
      <c r="B170" s="37" t="s">
        <v>3937</v>
      </c>
      <c r="C170" s="190"/>
      <c r="D170" s="26"/>
      <c r="E170" s="26"/>
      <c r="H170" s="26"/>
      <c r="I170" s="1343"/>
      <c r="J170" s="1344"/>
      <c r="K170" s="1344"/>
      <c r="L170" s="1344"/>
      <c r="M170" s="1344"/>
      <c r="N170" s="1345"/>
      <c r="O170" s="194"/>
      <c r="P170" s="194"/>
      <c r="Q170" s="194"/>
      <c r="R170" s="194"/>
    </row>
    <row r="171" spans="1:18" ht="14.25" customHeight="1" x14ac:dyDescent="0.25">
      <c r="A171" s="261"/>
      <c r="B171" s="37" t="s">
        <v>4656</v>
      </c>
      <c r="C171" s="783">
        <f>IF(C170="3000-3999 jobs",3,IF(C170="4000-4999 jobs",4,IF(C170="5000 or more jobs",5,0)))</f>
        <v>0</v>
      </c>
      <c r="D171" s="26"/>
      <c r="E171" s="26"/>
      <c r="H171" s="26"/>
      <c r="I171" s="1343"/>
      <c r="J171" s="1344"/>
      <c r="K171" s="1344"/>
      <c r="L171" s="1344"/>
      <c r="M171" s="1344"/>
      <c r="N171" s="1345"/>
      <c r="O171" s="194"/>
      <c r="P171" s="194"/>
      <c r="Q171" s="194"/>
      <c r="R171" s="194"/>
    </row>
    <row r="172" spans="1:18" ht="14.25" customHeight="1" x14ac:dyDescent="0.25">
      <c r="A172" s="261"/>
      <c r="B172" s="37" t="s">
        <v>4427</v>
      </c>
      <c r="E172" s="26"/>
      <c r="H172"/>
      <c r="I172" s="1343"/>
      <c r="J172" s="1344"/>
      <c r="K172" s="1344"/>
      <c r="L172" s="1344"/>
      <c r="M172" s="1344"/>
      <c r="N172" s="1345"/>
      <c r="O172" s="194"/>
      <c r="P172" s="194"/>
      <c r="Q172" s="194"/>
      <c r="R172" s="194"/>
    </row>
    <row r="173" spans="1:18" ht="14.25" customHeight="1" x14ac:dyDescent="0.25">
      <c r="A173" s="261"/>
      <c r="B173" s="37" t="s">
        <v>4428</v>
      </c>
      <c r="C173" s="190"/>
      <c r="E173" s="26"/>
      <c r="H173" s="26"/>
      <c r="I173" s="1343"/>
      <c r="J173" s="1344"/>
      <c r="K173" s="1344"/>
      <c r="L173" s="1344"/>
      <c r="M173" s="1344"/>
      <c r="N173" s="1345"/>
      <c r="O173" s="194"/>
      <c r="P173" s="194"/>
      <c r="Q173" s="194"/>
      <c r="R173" s="194"/>
    </row>
    <row r="174" spans="1:18" ht="14.25" customHeight="1" x14ac:dyDescent="0.25">
      <c r="A174" s="261"/>
      <c r="B174" s="37" t="s">
        <v>4656</v>
      </c>
      <c r="C174" s="783">
        <f>IF(C173="0.5-0.99",3,IF(C173="1.0-1.5",4,IF(C173="Greater than 1.5",5,0)))</f>
        <v>0</v>
      </c>
      <c r="E174" s="26"/>
      <c r="H174" s="26"/>
      <c r="I174" s="1343"/>
      <c r="J174" s="1344"/>
      <c r="K174" s="1344"/>
      <c r="L174" s="1344"/>
      <c r="M174" s="1344"/>
      <c r="N174" s="1345"/>
      <c r="O174" s="194"/>
      <c r="P174" s="194"/>
      <c r="Q174" s="194"/>
      <c r="R174" s="194"/>
    </row>
    <row r="175" spans="1:18" ht="14.25" customHeight="1" x14ac:dyDescent="0.25">
      <c r="A175" s="261"/>
      <c r="B175" s="5"/>
      <c r="D175" s="26"/>
      <c r="E175" s="26"/>
      <c r="H175" s="26" t="s">
        <v>4970</v>
      </c>
      <c r="I175" s="1343"/>
      <c r="J175" s="1344"/>
      <c r="K175" s="1344"/>
      <c r="L175" s="1344"/>
      <c r="M175" s="1344"/>
      <c r="N175" s="1345"/>
      <c r="O175" s="194"/>
      <c r="P175" s="194"/>
      <c r="Q175" s="194"/>
      <c r="R175" s="194"/>
    </row>
    <row r="176" spans="1:18" ht="14.25" customHeight="1" x14ac:dyDescent="0.25">
      <c r="A176" s="822">
        <f>C183</f>
        <v>0</v>
      </c>
      <c r="B176" s="969" t="s">
        <v>5257</v>
      </c>
      <c r="C176" s="970"/>
      <c r="D176" s="971"/>
      <c r="E176" s="972"/>
      <c r="F176" s="973"/>
      <c r="H176" s="262"/>
      <c r="I176" s="1343"/>
      <c r="J176" s="1344"/>
      <c r="K176" s="1344"/>
      <c r="L176" s="1344"/>
      <c r="M176" s="1344"/>
      <c r="N176" s="1345"/>
      <c r="O176" s="194"/>
      <c r="P176" s="194"/>
      <c r="Q176" s="194"/>
      <c r="R176" s="194"/>
    </row>
    <row r="177" spans="1:18" ht="14.25" customHeight="1" x14ac:dyDescent="0.25">
      <c r="A177" s="967"/>
      <c r="B177" s="974" t="s">
        <v>3948</v>
      </c>
      <c r="C177" s="1386" t="s">
        <v>5256</v>
      </c>
      <c r="D177" s="1386"/>
      <c r="E177" s="1386"/>
      <c r="F177" s="1387"/>
      <c r="H177" s="26"/>
      <c r="I177" s="1343"/>
      <c r="J177" s="1344"/>
      <c r="K177" s="1344"/>
      <c r="L177" s="1344"/>
      <c r="M177" s="1344"/>
      <c r="N177" s="1345"/>
      <c r="O177" s="194"/>
      <c r="P177" s="194"/>
      <c r="Q177" s="194"/>
      <c r="R177" s="194"/>
    </row>
    <row r="178" spans="1:18" ht="56.25" customHeight="1" x14ac:dyDescent="0.25">
      <c r="A178" s="967"/>
      <c r="B178" s="974"/>
      <c r="C178" s="1386"/>
      <c r="D178" s="1386"/>
      <c r="E178" s="1386"/>
      <c r="F178" s="1387"/>
      <c r="H178" s="26"/>
      <c r="I178" s="1343"/>
      <c r="J178" s="1344"/>
      <c r="K178" s="1344"/>
      <c r="L178" s="1344"/>
      <c r="M178" s="1344"/>
      <c r="N178" s="1345"/>
      <c r="O178" s="194"/>
      <c r="P178" s="194"/>
      <c r="Q178" s="194"/>
      <c r="R178" s="194"/>
    </row>
    <row r="179" spans="1:18" ht="33" customHeight="1" x14ac:dyDescent="0.25">
      <c r="A179" s="967"/>
      <c r="B179" s="975"/>
      <c r="C179" s="1388" t="s">
        <v>5258</v>
      </c>
      <c r="D179" s="1388"/>
      <c r="E179" s="1388"/>
      <c r="F179" s="1389"/>
      <c r="H179" s="26"/>
      <c r="I179" s="1343"/>
      <c r="J179" s="1344"/>
      <c r="K179" s="1344"/>
      <c r="L179" s="1344"/>
      <c r="M179" s="1344"/>
      <c r="N179" s="1345"/>
      <c r="O179" s="194"/>
      <c r="P179" s="194"/>
      <c r="Q179" s="194"/>
      <c r="R179" s="194"/>
    </row>
    <row r="180" spans="1:18" ht="14.25" customHeight="1" x14ac:dyDescent="0.25">
      <c r="A180" s="967"/>
      <c r="B180" s="501" t="s">
        <v>4619</v>
      </c>
      <c r="C180" s="976"/>
      <c r="D180" s="968"/>
      <c r="E180" s="968"/>
      <c r="F180"/>
      <c r="H180" s="26"/>
      <c r="I180" s="1343"/>
      <c r="J180" s="1344"/>
      <c r="K180" s="1344"/>
      <c r="L180" s="1344"/>
      <c r="M180" s="1344"/>
      <c r="N180" s="1345"/>
      <c r="O180" s="194"/>
      <c r="P180" s="194"/>
      <c r="Q180" s="194"/>
      <c r="R180" s="194"/>
    </row>
    <row r="181" spans="1:18" ht="14.25" customHeight="1" x14ac:dyDescent="0.25">
      <c r="A181" s="967"/>
      <c r="B181" s="501" t="s">
        <v>4427</v>
      </c>
      <c r="C181"/>
      <c r="D181" s="968"/>
      <c r="E181" s="968"/>
      <c r="F181"/>
      <c r="H181" s="26"/>
      <c r="I181" s="1343"/>
      <c r="J181" s="1344"/>
      <c r="K181" s="1344"/>
      <c r="L181" s="1344"/>
      <c r="M181" s="1344"/>
      <c r="N181" s="1345"/>
      <c r="O181" s="194"/>
      <c r="P181" s="194"/>
      <c r="Q181" s="194"/>
      <c r="R181" s="194"/>
    </row>
    <row r="182" spans="1:18" ht="14.25" customHeight="1" x14ac:dyDescent="0.25">
      <c r="A182" s="967"/>
      <c r="B182" s="501" t="s">
        <v>3901</v>
      </c>
      <c r="C182" s="978"/>
      <c r="D182" s="968"/>
      <c r="E182" s="968"/>
      <c r="F182"/>
      <c r="H182" s="26"/>
      <c r="I182" s="1343"/>
      <c r="J182" s="1344"/>
      <c r="K182" s="1344"/>
      <c r="L182" s="1344"/>
      <c r="M182" s="1344"/>
      <c r="N182" s="1345"/>
      <c r="O182" s="194"/>
      <c r="P182" s="194"/>
      <c r="Q182" s="194"/>
      <c r="R182" s="194"/>
    </row>
    <row r="183" spans="1:18" ht="14.25" customHeight="1" x14ac:dyDescent="0.25">
      <c r="A183" s="967"/>
      <c r="B183" s="501" t="s">
        <v>4656</v>
      </c>
      <c r="C183" s="977">
        <f>IF(C182="Yes",5,0)</f>
        <v>0</v>
      </c>
      <c r="D183" s="968"/>
      <c r="E183" s="968"/>
      <c r="F183"/>
      <c r="H183" s="26"/>
      <c r="I183" s="1343"/>
      <c r="J183" s="1344"/>
      <c r="K183" s="1344"/>
      <c r="L183" s="1344"/>
      <c r="M183" s="1344"/>
      <c r="N183" s="1345"/>
      <c r="O183" s="194"/>
      <c r="P183" s="194"/>
      <c r="Q183" s="194"/>
      <c r="R183" s="194"/>
    </row>
    <row r="184" spans="1:18" ht="14.25" customHeight="1" x14ac:dyDescent="0.25">
      <c r="A184" s="967"/>
      <c r="B184" s="333"/>
      <c r="C184" s="333"/>
      <c r="D184" s="968"/>
      <c r="E184" s="968"/>
      <c r="F184"/>
      <c r="H184" s="26" t="s">
        <v>5259</v>
      </c>
      <c r="I184" s="1343"/>
      <c r="J184" s="1344"/>
      <c r="K184" s="1344"/>
      <c r="L184" s="1344"/>
      <c r="M184" s="1344"/>
      <c r="N184" s="1345"/>
      <c r="O184" s="194"/>
      <c r="P184" s="194"/>
      <c r="Q184" s="194"/>
      <c r="R184" s="194"/>
    </row>
    <row r="185" spans="1:18" ht="14.25" customHeight="1" x14ac:dyDescent="0.25">
      <c r="A185" s="822">
        <f>C189</f>
        <v>0</v>
      </c>
      <c r="B185" s="753" t="s">
        <v>5260</v>
      </c>
      <c r="C185" s="112"/>
      <c r="D185" s="113"/>
      <c r="E185" s="114"/>
      <c r="F185" s="115"/>
      <c r="H185" s="262"/>
      <c r="I185" s="1343"/>
      <c r="J185" s="1344"/>
      <c r="K185" s="1344"/>
      <c r="L185" s="1344"/>
      <c r="M185" s="1344"/>
      <c r="N185" s="1345"/>
      <c r="O185" s="194"/>
      <c r="P185" s="194"/>
      <c r="Q185" s="194"/>
      <c r="R185" s="194"/>
    </row>
    <row r="186" spans="1:18" ht="14.25" customHeight="1" x14ac:dyDescent="0.25">
      <c r="A186" s="261"/>
      <c r="B186" s="492" t="s">
        <v>3948</v>
      </c>
      <c r="C186" s="1338" t="s">
        <v>5261</v>
      </c>
      <c r="D186" s="1338"/>
      <c r="E186" s="1338"/>
      <c r="F186" s="1339"/>
      <c r="H186" s="26"/>
      <c r="I186" s="1343"/>
      <c r="J186" s="1344"/>
      <c r="K186" s="1344"/>
      <c r="L186" s="1344"/>
      <c r="M186" s="1344"/>
      <c r="N186" s="1345"/>
      <c r="O186" s="194"/>
      <c r="P186" s="194"/>
      <c r="Q186" s="194"/>
      <c r="R186" s="194"/>
    </row>
    <row r="187" spans="1:18" ht="14.25" customHeight="1" x14ac:dyDescent="0.25">
      <c r="A187" s="261"/>
      <c r="B187" s="491"/>
      <c r="C187" s="1372"/>
      <c r="D187" s="1372"/>
      <c r="E187" s="1372"/>
      <c r="F187" s="1373"/>
      <c r="H187" s="26"/>
      <c r="I187" s="1343"/>
      <c r="J187" s="1344"/>
      <c r="K187" s="1344"/>
      <c r="L187" s="1344"/>
      <c r="M187" s="1344"/>
      <c r="N187" s="1345"/>
      <c r="O187" s="194"/>
      <c r="P187" s="194"/>
      <c r="Q187" s="194"/>
      <c r="R187" s="194"/>
    </row>
    <row r="188" spans="1:18" ht="14.25" customHeight="1" x14ac:dyDescent="0.25">
      <c r="A188" s="261"/>
      <c r="B188" s="37" t="s">
        <v>2958</v>
      </c>
      <c r="C188" s="263"/>
      <c r="D188" s="26"/>
      <c r="E188" s="26"/>
      <c r="H188" s="26"/>
      <c r="I188" s="1343"/>
      <c r="J188" s="1344"/>
      <c r="K188" s="1344"/>
      <c r="L188" s="1344"/>
      <c r="M188" s="1344"/>
      <c r="N188" s="1345"/>
      <c r="O188" s="194"/>
      <c r="P188" s="194"/>
      <c r="Q188" s="194"/>
      <c r="R188" s="194"/>
    </row>
    <row r="189" spans="1:18" ht="14.25" customHeight="1" x14ac:dyDescent="0.25">
      <c r="A189" s="261"/>
      <c r="B189" s="37" t="s">
        <v>4656</v>
      </c>
      <c r="C189" s="783">
        <f>IF(C188="Very High",5,IF(C188="High",4,IF(C188="Moderate",3,IF(C188="Low",2,IF(C188="Very Low",1,0)))))</f>
        <v>0</v>
      </c>
      <c r="D189" s="26"/>
      <c r="E189" s="26"/>
      <c r="H189" s="26"/>
      <c r="I189" s="1343"/>
      <c r="J189" s="1344"/>
      <c r="K189" s="1344"/>
      <c r="L189" s="1344"/>
      <c r="M189" s="1344"/>
      <c r="N189" s="1345"/>
      <c r="O189" s="194"/>
      <c r="P189" s="194"/>
      <c r="Q189" s="194"/>
      <c r="R189" s="194"/>
    </row>
    <row r="190" spans="1:18" s="348" customFormat="1" ht="14.25" customHeight="1" x14ac:dyDescent="0.25">
      <c r="A190" s="967"/>
      <c r="B190" s="333"/>
      <c r="C190" s="333"/>
      <c r="D190" s="968"/>
      <c r="E190" s="968"/>
      <c r="F190"/>
      <c r="G190"/>
      <c r="H190" s="968" t="s">
        <v>5275</v>
      </c>
      <c r="I190" s="1343"/>
      <c r="J190" s="1344"/>
      <c r="K190" s="1344"/>
      <c r="L190" s="1344"/>
      <c r="M190" s="1344"/>
      <c r="N190" s="1345"/>
      <c r="O190" s="980"/>
      <c r="P190" s="980"/>
      <c r="Q190" s="980"/>
      <c r="R190" s="980"/>
    </row>
    <row r="191" spans="1:18" ht="14.25" customHeight="1" x14ac:dyDescent="0.25">
      <c r="A191" s="822">
        <f>IF(C196+C201&gt;5,5,SUM(C196+C201))</f>
        <v>0</v>
      </c>
      <c r="B191" s="981" t="s">
        <v>5268</v>
      </c>
      <c r="C191" s="112"/>
      <c r="D191" s="113"/>
      <c r="E191" s="114"/>
      <c r="F191" s="115"/>
      <c r="H191" s="262"/>
      <c r="I191" s="1343"/>
      <c r="J191" s="1344"/>
      <c r="K191" s="1344"/>
      <c r="L191" s="1344"/>
      <c r="M191" s="1344"/>
      <c r="N191" s="1345"/>
      <c r="O191" s="194"/>
      <c r="P191" s="194"/>
      <c r="Q191" s="194"/>
      <c r="R191" s="194"/>
    </row>
    <row r="192" spans="1:18" ht="14.25" customHeight="1" x14ac:dyDescent="0.25">
      <c r="A192" s="261"/>
      <c r="B192" s="492" t="s">
        <v>3948</v>
      </c>
      <c r="C192" s="1338" t="s">
        <v>5269</v>
      </c>
      <c r="D192" s="1338"/>
      <c r="E192" s="1338"/>
      <c r="F192" s="1339"/>
      <c r="H192" s="26"/>
      <c r="I192" s="1343"/>
      <c r="J192" s="1344"/>
      <c r="K192" s="1344"/>
      <c r="L192" s="1344"/>
      <c r="M192" s="1344"/>
      <c r="N192" s="1345"/>
      <c r="O192" s="194"/>
      <c r="P192" s="194"/>
      <c r="Q192" s="194"/>
      <c r="R192" s="194"/>
    </row>
    <row r="193" spans="1:18" ht="14.25" customHeight="1" x14ac:dyDescent="0.25">
      <c r="A193" s="261"/>
      <c r="B193" s="492"/>
      <c r="C193" s="1338"/>
      <c r="D193" s="1338"/>
      <c r="E193" s="1338"/>
      <c r="F193" s="1339"/>
      <c r="H193" s="26"/>
      <c r="I193" s="1343"/>
      <c r="J193" s="1344"/>
      <c r="K193" s="1344"/>
      <c r="L193" s="1344"/>
      <c r="M193" s="1344"/>
      <c r="N193" s="1345"/>
      <c r="O193" s="194"/>
      <c r="P193" s="194"/>
      <c r="Q193" s="194"/>
      <c r="R193" s="194"/>
    </row>
    <row r="194" spans="1:18" ht="45.75" customHeight="1" x14ac:dyDescent="0.25">
      <c r="A194" s="261"/>
      <c r="B194" s="491"/>
      <c r="C194" s="1260" t="s">
        <v>5270</v>
      </c>
      <c r="D194" s="1260"/>
      <c r="E194" s="1260"/>
      <c r="F194" s="1261"/>
      <c r="H194" s="26"/>
      <c r="I194" s="1343"/>
      <c r="J194" s="1344"/>
      <c r="K194" s="1344"/>
      <c r="L194" s="1344"/>
      <c r="M194" s="1344"/>
      <c r="N194" s="1345"/>
      <c r="O194" s="194"/>
      <c r="P194" s="194"/>
      <c r="Q194" s="194"/>
      <c r="R194" s="194"/>
    </row>
    <row r="195" spans="1:18" ht="14.25" customHeight="1" x14ac:dyDescent="0.25">
      <c r="A195" s="261"/>
      <c r="B195" s="37" t="s">
        <v>5271</v>
      </c>
      <c r="C195" s="263"/>
      <c r="D195" s="982" t="s">
        <v>5272</v>
      </c>
      <c r="E195" s="26"/>
      <c r="H195" s="26"/>
      <c r="I195" s="1343"/>
      <c r="J195" s="1344"/>
      <c r="K195" s="1344"/>
      <c r="L195" s="1344"/>
      <c r="M195" s="1344"/>
      <c r="N195" s="1345"/>
      <c r="O195" s="194"/>
      <c r="P195" s="194"/>
      <c r="Q195" s="194"/>
      <c r="R195" s="194"/>
    </row>
    <row r="196" spans="1:18" ht="14.25" customHeight="1" x14ac:dyDescent="0.25">
      <c r="A196" s="261"/>
      <c r="B196" s="37" t="s">
        <v>4656</v>
      </c>
      <c r="C196" s="783">
        <f>IF(C195="General Partner Parent",5,IF(C195="3rd Party",5,0))</f>
        <v>0</v>
      </c>
      <c r="D196" s="26"/>
      <c r="E196" s="26"/>
      <c r="H196" s="26"/>
      <c r="I196" s="1343"/>
      <c r="J196" s="1344"/>
      <c r="K196" s="1344"/>
      <c r="L196" s="1344"/>
      <c r="M196" s="1344"/>
      <c r="N196" s="1345"/>
      <c r="O196" s="194"/>
      <c r="P196" s="194"/>
      <c r="Q196" s="194"/>
      <c r="R196" s="194"/>
    </row>
    <row r="197" spans="1:18" ht="14.25" customHeight="1" x14ac:dyDescent="0.25">
      <c r="A197" s="967"/>
      <c r="B197" s="501"/>
      <c r="C197" s="983"/>
      <c r="D197" s="968"/>
      <c r="E197" s="968"/>
      <c r="F197"/>
      <c r="G197"/>
      <c r="H197" s="26"/>
      <c r="I197" s="1343"/>
      <c r="J197" s="1344"/>
      <c r="K197" s="1344"/>
      <c r="L197" s="1344"/>
      <c r="M197" s="1344"/>
      <c r="N197" s="1345"/>
      <c r="O197" s="194"/>
      <c r="P197" s="194"/>
      <c r="Q197" s="194"/>
      <c r="R197" s="194"/>
    </row>
    <row r="198" spans="1:18" ht="14.25" customHeight="1" x14ac:dyDescent="0.25">
      <c r="A198" s="261"/>
      <c r="B198" s="501" t="s">
        <v>5273</v>
      </c>
      <c r="C198" s="263"/>
      <c r="D198" s="26"/>
      <c r="E198" s="26"/>
      <c r="H198" s="26"/>
      <c r="I198" s="1343"/>
      <c r="J198" s="1344"/>
      <c r="K198" s="1344"/>
      <c r="L198" s="1344"/>
      <c r="M198" s="1344"/>
      <c r="N198" s="1345"/>
      <c r="O198" s="194"/>
      <c r="P198" s="194"/>
      <c r="Q198" s="194"/>
      <c r="R198" s="194"/>
    </row>
    <row r="199" spans="1:18" ht="14.25" customHeight="1" x14ac:dyDescent="0.25">
      <c r="A199" s="261"/>
      <c r="B199" s="501" t="s">
        <v>5274</v>
      </c>
      <c r="C199" s="171"/>
      <c r="E199" s="26"/>
      <c r="H199" s="26"/>
      <c r="I199" s="1343"/>
      <c r="J199" s="1344"/>
      <c r="K199" s="1344"/>
      <c r="L199" s="1344"/>
      <c r="M199" s="1344"/>
      <c r="N199" s="1345"/>
      <c r="O199" s="194"/>
      <c r="P199" s="194"/>
      <c r="Q199" s="194"/>
      <c r="R199" s="194"/>
    </row>
    <row r="200" spans="1:18" ht="14.25" customHeight="1" x14ac:dyDescent="0.25">
      <c r="A200" s="261"/>
      <c r="B200" s="501" t="s">
        <v>4637</v>
      </c>
      <c r="C200" s="171"/>
      <c r="D200" s="5" t="s">
        <v>4636</v>
      </c>
      <c r="E200" s="26"/>
      <c r="H200" s="26"/>
      <c r="I200" s="1343"/>
      <c r="J200" s="1344"/>
      <c r="K200" s="1344"/>
      <c r="L200" s="1344"/>
      <c r="M200" s="1344"/>
      <c r="N200" s="1345"/>
      <c r="O200" s="194"/>
      <c r="P200" s="194"/>
      <c r="Q200" s="194"/>
      <c r="R200" s="194"/>
    </row>
    <row r="201" spans="1:18" ht="14.25" customHeight="1" thickBot="1" x14ac:dyDescent="0.3">
      <c r="A201" s="261"/>
      <c r="B201" s="37" t="s">
        <v>4867</v>
      </c>
      <c r="C201" s="775">
        <f>IF(C198="Yes",5,0)</f>
        <v>0</v>
      </c>
      <c r="D201" s="26"/>
      <c r="E201" s="26"/>
      <c r="H201" s="26"/>
      <c r="I201" s="1346"/>
      <c r="J201" s="1347"/>
      <c r="K201" s="1347"/>
      <c r="L201" s="1347"/>
      <c r="M201" s="1347"/>
      <c r="N201" s="1348"/>
      <c r="O201" s="194"/>
      <c r="P201" s="194"/>
      <c r="Q201" s="194"/>
      <c r="R201" s="194"/>
    </row>
    <row r="202" spans="1:18" ht="15.75" thickBot="1" x14ac:dyDescent="0.3">
      <c r="A202" s="261"/>
      <c r="B202" s="5"/>
      <c r="D202" s="26"/>
      <c r="E202" s="26"/>
      <c r="I202" s="134" t="s">
        <v>3985</v>
      </c>
      <c r="K202" s="817">
        <f>SUM(H134,H113,H103,H90,H72,H48,H21)</f>
        <v>0</v>
      </c>
    </row>
    <row r="203" spans="1:18" ht="27.75" customHeight="1" thickBot="1" x14ac:dyDescent="0.3">
      <c r="A203" s="474" t="s">
        <v>3902</v>
      </c>
      <c r="B203" s="108"/>
      <c r="C203" s="109"/>
      <c r="D203" s="109"/>
      <c r="E203" s="109"/>
      <c r="F203" s="107"/>
      <c r="I203" s="1350" t="s">
        <v>3905</v>
      </c>
      <c r="J203" s="1351"/>
      <c r="K203" s="1351"/>
      <c r="L203" s="1351"/>
      <c r="M203" s="1351"/>
      <c r="N203" s="1352"/>
    </row>
    <row r="204" spans="1:18" ht="15" x14ac:dyDescent="0.25">
      <c r="A204" s="96" t="s">
        <v>3958</v>
      </c>
      <c r="B204" s="5"/>
      <c r="C204" s="839">
        <f>SUM(F22,F49,F73,F91,F104,F114,F135)</f>
        <v>0</v>
      </c>
      <c r="H204" s="986"/>
      <c r="I204" s="1353"/>
      <c r="J204" s="1354"/>
      <c r="K204" s="1354"/>
      <c r="L204" s="1354"/>
      <c r="M204" s="1354"/>
      <c r="N204" s="1355"/>
    </row>
    <row r="205" spans="1:18" ht="15" x14ac:dyDescent="0.25">
      <c r="A205" s="96"/>
      <c r="B205" s="615" t="s">
        <v>4676</v>
      </c>
      <c r="C205" s="840" t="str">
        <f>IF(C204&lt;62.999,"Not eligible","Eligible")</f>
        <v>Not eligible</v>
      </c>
      <c r="H205" s="987"/>
      <c r="I205" s="1356"/>
      <c r="J205" s="1357"/>
      <c r="K205" s="1357"/>
      <c r="L205" s="1357"/>
      <c r="M205" s="1357"/>
      <c r="N205" s="1358"/>
    </row>
    <row r="206" spans="1:18" ht="15" x14ac:dyDescent="0.25">
      <c r="A206" s="96"/>
      <c r="B206" s="5"/>
      <c r="I206" s="1356"/>
      <c r="J206" s="1357"/>
      <c r="K206" s="1357"/>
      <c r="L206" s="1357"/>
      <c r="M206" s="1357"/>
      <c r="N206" s="1358"/>
    </row>
    <row r="207" spans="1:18" ht="15" x14ac:dyDescent="0.25">
      <c r="A207" s="96" t="s">
        <v>5277</v>
      </c>
      <c r="C207" s="11" t="s">
        <v>3125</v>
      </c>
      <c r="D207" s="11" t="s">
        <v>5278</v>
      </c>
      <c r="E207" s="988"/>
      <c r="I207" s="1356"/>
      <c r="J207" s="1357"/>
      <c r="K207" s="1357"/>
      <c r="L207" s="1357"/>
      <c r="M207" s="1357"/>
      <c r="N207" s="1358"/>
    </row>
    <row r="208" spans="1:18" x14ac:dyDescent="0.2">
      <c r="C208" s="1022">
        <f>'Project Details'!G11</f>
        <v>0</v>
      </c>
      <c r="D208" s="1023"/>
      <c r="E208" s="989"/>
      <c r="I208" s="1356"/>
      <c r="J208" s="1357"/>
      <c r="K208" s="1357"/>
      <c r="L208" s="1357"/>
      <c r="M208" s="1357"/>
      <c r="N208" s="1358"/>
    </row>
    <row r="209" spans="1:14" ht="15.75" thickBot="1" x14ac:dyDescent="0.3">
      <c r="B209" s="5"/>
      <c r="D209" s="40"/>
      <c r="I209" s="1359"/>
      <c r="J209" s="1360"/>
      <c r="K209" s="1360"/>
      <c r="L209" s="1360"/>
      <c r="M209" s="1360"/>
      <c r="N209" s="1361"/>
    </row>
    <row r="210" spans="1:14" ht="15" thickBot="1" x14ac:dyDescent="0.25">
      <c r="H210" s="9"/>
    </row>
    <row r="211" spans="1:14" ht="15.75" thickBot="1" x14ac:dyDescent="0.3">
      <c r="A211" s="96" t="s">
        <v>5279</v>
      </c>
      <c r="C211" s="1024"/>
      <c r="D211" s="97"/>
      <c r="H211" s="987"/>
      <c r="I211" s="1350" t="s">
        <v>3906</v>
      </c>
      <c r="J211" s="1351"/>
      <c r="K211" s="1351"/>
      <c r="L211" s="1351"/>
      <c r="M211" s="1351"/>
      <c r="N211" s="1352"/>
    </row>
    <row r="212" spans="1:14" ht="15" x14ac:dyDescent="0.25">
      <c r="A212" s="96"/>
      <c r="B212" s="5"/>
      <c r="D212" s="97"/>
      <c r="I212" s="1353"/>
      <c r="J212" s="1354"/>
      <c r="K212" s="1354"/>
      <c r="L212" s="1354"/>
      <c r="M212" s="1354"/>
      <c r="N212" s="1355"/>
    </row>
    <row r="213" spans="1:14" ht="15" x14ac:dyDescent="0.25">
      <c r="A213" s="58"/>
      <c r="B213" s="501"/>
      <c r="C213" s="333"/>
      <c r="D213" s="97"/>
      <c r="I213" s="1356"/>
      <c r="J213" s="1357"/>
      <c r="K213" s="1357"/>
      <c r="L213" s="1357"/>
      <c r="M213" s="1357"/>
      <c r="N213" s="1358"/>
    </row>
    <row r="214" spans="1:14" ht="15" x14ac:dyDescent="0.25">
      <c r="A214" s="58"/>
      <c r="B214"/>
      <c r="C214"/>
      <c r="D214" s="97"/>
      <c r="I214" s="1356"/>
      <c r="J214" s="1357"/>
      <c r="K214" s="1357"/>
      <c r="L214" s="1357"/>
      <c r="M214" s="1357"/>
      <c r="N214" s="1358"/>
    </row>
    <row r="215" spans="1:14" ht="15" thickBot="1" x14ac:dyDescent="0.25">
      <c r="I215" s="1359"/>
      <c r="J215" s="1360"/>
      <c r="K215" s="1360"/>
      <c r="L215" s="1360"/>
      <c r="M215" s="1360"/>
      <c r="N215" s="1361"/>
    </row>
    <row r="216" spans="1:14" x14ac:dyDescent="0.2">
      <c r="H216" s="985"/>
    </row>
    <row r="217" spans="1:14" ht="15" x14ac:dyDescent="0.25">
      <c r="H217" s="967"/>
      <c r="I217" s="1362"/>
      <c r="J217" s="1362"/>
      <c r="K217" s="1362"/>
      <c r="L217" s="1362"/>
      <c r="M217" s="1362"/>
      <c r="N217" s="1362"/>
    </row>
    <row r="218" spans="1:14" x14ac:dyDescent="0.2">
      <c r="I218" s="1349"/>
      <c r="J218" s="1349"/>
      <c r="K218" s="1349"/>
      <c r="L218" s="1349"/>
      <c r="M218" s="1349"/>
      <c r="N218" s="1349"/>
    </row>
    <row r="219" spans="1:14" x14ac:dyDescent="0.2">
      <c r="I219" s="1349"/>
      <c r="J219" s="1349"/>
      <c r="K219" s="1349"/>
      <c r="L219" s="1349"/>
      <c r="M219" s="1349"/>
      <c r="N219" s="1349"/>
    </row>
    <row r="220" spans="1:14" x14ac:dyDescent="0.2">
      <c r="I220" s="1349"/>
      <c r="J220" s="1349"/>
      <c r="K220" s="1349"/>
      <c r="L220" s="1349"/>
      <c r="M220" s="1349"/>
      <c r="N220" s="1349"/>
    </row>
    <row r="221" spans="1:14" x14ac:dyDescent="0.2">
      <c r="I221" s="1349"/>
      <c r="J221" s="1349"/>
      <c r="K221" s="1349"/>
      <c r="L221" s="1349"/>
      <c r="M221" s="1349"/>
      <c r="N221" s="1349"/>
    </row>
  </sheetData>
  <sheetProtection algorithmName="SHA-512" hashValue="LgulsPH6ceGLQ+kD7IUfpHAat5avEGdkbhMlUJ1RGTIqMdtWJ9CR4lDXZVvF6gGK2q8EmmUaTZ1D+TR6iusfFw==" saltValue="KfFVNN6MDMSnmhR3YWLObg==" spinCount="100000" sheet="1" objects="1" scenarios="1"/>
  <mergeCells count="72">
    <mergeCell ref="B14:F14"/>
    <mergeCell ref="A4:F4"/>
    <mergeCell ref="C5:D5"/>
    <mergeCell ref="C9:D9"/>
    <mergeCell ref="B12:F12"/>
    <mergeCell ref="D13:F13"/>
    <mergeCell ref="B16:F16"/>
    <mergeCell ref="D17:F17"/>
    <mergeCell ref="D18:F18"/>
    <mergeCell ref="I21:N21"/>
    <mergeCell ref="A22:C22"/>
    <mergeCell ref="I22:N41"/>
    <mergeCell ref="C24:F24"/>
    <mergeCell ref="C29:F29"/>
    <mergeCell ref="C35:F35"/>
    <mergeCell ref="I48:N48"/>
    <mergeCell ref="A49:C49"/>
    <mergeCell ref="I49:N70"/>
    <mergeCell ref="C55:F55"/>
    <mergeCell ref="C57:F57"/>
    <mergeCell ref="C59:F59"/>
    <mergeCell ref="C62:F62"/>
    <mergeCell ref="C63:D63"/>
    <mergeCell ref="C64:D64"/>
    <mergeCell ref="C65:D65"/>
    <mergeCell ref="C66:D66"/>
    <mergeCell ref="C67:D67"/>
    <mergeCell ref="C68:D68"/>
    <mergeCell ref="C69:D69"/>
    <mergeCell ref="I72:N72"/>
    <mergeCell ref="I90:N90"/>
    <mergeCell ref="A91:C91"/>
    <mergeCell ref="I91:N100"/>
    <mergeCell ref="I103:N103"/>
    <mergeCell ref="A73:C73"/>
    <mergeCell ref="I73:N88"/>
    <mergeCell ref="A104:C104"/>
    <mergeCell ref="I104:N110"/>
    <mergeCell ref="C106:F106"/>
    <mergeCell ref="I113:N113"/>
    <mergeCell ref="A114:C114"/>
    <mergeCell ref="I114:N132"/>
    <mergeCell ref="C116:F116"/>
    <mergeCell ref="B123:C123"/>
    <mergeCell ref="B124:C124"/>
    <mergeCell ref="B125:C125"/>
    <mergeCell ref="B126:C126"/>
    <mergeCell ref="B127:C127"/>
    <mergeCell ref="B128:C128"/>
    <mergeCell ref="C192:F193"/>
    <mergeCell ref="B129:C129"/>
    <mergeCell ref="B130:C130"/>
    <mergeCell ref="B131:C131"/>
    <mergeCell ref="I134:N134"/>
    <mergeCell ref="A135:C135"/>
    <mergeCell ref="I135:N201"/>
    <mergeCell ref="C137:F137"/>
    <mergeCell ref="C147:F147"/>
    <mergeCell ref="C148:F148"/>
    <mergeCell ref="C162:F163"/>
    <mergeCell ref="C168:F168"/>
    <mergeCell ref="C169:F169"/>
    <mergeCell ref="C177:F178"/>
    <mergeCell ref="C179:F179"/>
    <mergeCell ref="C186:F187"/>
    <mergeCell ref="I218:N221"/>
    <mergeCell ref="C194:F194"/>
    <mergeCell ref="I203:N203"/>
    <mergeCell ref="I204:N209"/>
    <mergeCell ref="I211:N211"/>
    <mergeCell ref="I212:N215"/>
    <mergeCell ref="I217:N217"/>
  </mergeCells>
  <conditionalFormatting sqref="A4:F4">
    <cfRule type="expression" dxfId="31" priority="14">
      <formula>$C$5&lt;&gt;$C$10</formula>
    </cfRule>
  </conditionalFormatting>
  <conditionalFormatting sqref="A5:F175 A202:F214">
    <cfRule type="expression" dxfId="30" priority="13">
      <formula>$C$5&lt;&gt;$C$10</formula>
    </cfRule>
  </conditionalFormatting>
  <conditionalFormatting sqref="G5:G6">
    <cfRule type="expression" dxfId="29" priority="12">
      <formula>IF(OR(F5="Low",F5="Very Low"),"Ineligible Tract","")</formula>
    </cfRule>
  </conditionalFormatting>
  <conditionalFormatting sqref="G7">
    <cfRule type="expression" dxfId="28" priority="11">
      <formula>IF(OR(AND(F5="Moderate",F7="Slight Decline"),AND(F5="Moderate",F7="Strong Decline")),"Ineliglble Tract","")</formula>
    </cfRule>
  </conditionalFormatting>
  <conditionalFormatting sqref="G8">
    <cfRule type="expression" dxfId="27" priority="10">
      <formula>IF(F8&gt;0.35,"No more than 35% of aff units may be one-bedroom and/or efficiencies""")</formula>
    </cfRule>
  </conditionalFormatting>
  <conditionalFormatting sqref="G9">
    <cfRule type="expression" dxfId="26" priority="9">
      <formula>IF(F9&lt;0.05,"5% of affordable units must be 3+ bedrooms and also be affordable to those earning 60% AMI or less","")</formula>
    </cfRule>
  </conditionalFormatting>
  <conditionalFormatting sqref="D17">
    <cfRule type="expression" dxfId="25" priority="4">
      <formula>$C$17="Very Low"</formula>
    </cfRule>
    <cfRule type="expression" dxfId="24" priority="8">
      <formula>C17="Low"</formula>
    </cfRule>
  </conditionalFormatting>
  <conditionalFormatting sqref="D18:D19">
    <cfRule type="expression" dxfId="23" priority="7">
      <formula>IF(OR(AND(C17="Moderate",C18="Slight Decline"),AND(C17="Moderate",C18="Strong Decline")),"Ineliglble Tract","")</formula>
    </cfRule>
  </conditionalFormatting>
  <conditionalFormatting sqref="D15">
    <cfRule type="expression" dxfId="22" priority="6">
      <formula>$C$15="Non-Urban"</formula>
    </cfRule>
  </conditionalFormatting>
  <conditionalFormatting sqref="D13">
    <cfRule type="expression" dxfId="21" priority="5">
      <formula>$C$13="Preserved Affordability"</formula>
    </cfRule>
  </conditionalFormatting>
  <conditionalFormatting sqref="A185:F190">
    <cfRule type="expression" dxfId="20" priority="2">
      <formula>$C$5&lt;&gt;$C$10</formula>
    </cfRule>
  </conditionalFormatting>
  <conditionalFormatting sqref="A191:F193 A195:F197 A194:C194 A201:F201">
    <cfRule type="expression" dxfId="19" priority="1">
      <formula>$C$5&lt;&gt;$C$10</formula>
    </cfRule>
  </conditionalFormatting>
  <conditionalFormatting sqref="A176:F184">
    <cfRule type="expression" dxfId="18" priority="3">
      <formula>#REF!&lt;&gt;#REF!</formula>
    </cfRule>
  </conditionalFormatting>
  <dataValidations count="25">
    <dataValidation type="list" allowBlank="1" showInputMessage="1" showErrorMessage="1" sqref="A16 C31 A14 A12 E63:E69 C182 C180 C198" xr:uid="{00000000-0002-0000-1400-000000000000}">
      <formula1>"Yes,No"</formula1>
    </dataValidation>
    <dataValidation type="list" allowBlank="1" showInputMessage="1" showErrorMessage="1" sqref="A23 A28 A34 A39 H28 H34 H39 H23 H74 H79 H84" xr:uid="{00000000-0002-0000-1400-000001000000}">
      <formula1>"0,10"</formula1>
    </dataValidation>
    <dataValidation type="list" allowBlank="1" showInputMessage="1" showErrorMessage="1" sqref="H50 H176 F159 H159 H191" xr:uid="{00000000-0002-0000-1400-000002000000}">
      <formula1>"0,5"</formula1>
    </dataValidation>
    <dataValidation type="list" allowBlank="1" showInputMessage="1" showErrorMessage="1" sqref="H136 C110 H105" xr:uid="{00000000-0002-0000-1400-000003000000}">
      <formula1>"0,1,3,5"</formula1>
    </dataValidation>
    <dataValidation type="list" allowBlank="1" showInputMessage="1" showErrorMessage="1" sqref="H167" xr:uid="{00000000-0002-0000-1400-000004000000}">
      <formula1>"0,3,4,5"</formula1>
    </dataValidation>
    <dataValidation type="list" allowBlank="1" showInputMessage="1" showErrorMessage="1" sqref="H146 C149" xr:uid="{00000000-0002-0000-1400-000005000000}">
      <formula1>"0,1,2,3,4,5,6,7,8,9,10"</formula1>
    </dataValidation>
    <dataValidation type="list" allowBlank="1" showInputMessage="1" showErrorMessage="1" sqref="H161" xr:uid="{00000000-0002-0000-1400-000006000000}">
      <formula1>"0,3,5"</formula1>
    </dataValidation>
    <dataValidation type="list" allowBlank="1" showInputMessage="1" showErrorMessage="1" sqref="C170" xr:uid="{00000000-0002-0000-1400-000007000000}">
      <formula1>"3000-3999 jobs, 4000-4999 jobs, 5000 or more jobs"</formula1>
    </dataValidation>
    <dataValidation type="list" allowBlank="1" showInputMessage="1" showErrorMessage="1" sqref="C173" xr:uid="{00000000-0002-0000-1400-000008000000}">
      <formula1>"0.5-0.99,1.0-1.5,Greater than 1.5"</formula1>
    </dataValidation>
    <dataValidation type="list" allowBlank="1" showInputMessage="1" showErrorMessage="1" sqref="C164" xr:uid="{00000000-0002-0000-1400-000009000000}">
      <formula1>"15% and below,10% and below"</formula1>
    </dataValidation>
    <dataValidation type="list" allowBlank="1" showInputMessage="1" showErrorMessage="1" sqref="C138" xr:uid="{00000000-0002-0000-1400-00000A000000}">
      <formula1>"1,2 or Higher,Free Ride Option 1, Free Ride Option 2"</formula1>
    </dataValidation>
    <dataValidation type="list" allowBlank="1" showInputMessage="1" showErrorMessage="1" sqref="C52" xr:uid="{00000000-0002-0000-1400-00000B000000}">
      <formula1>"Onsite fitness area, Onsite health/wellness clinic, Facility partnership, None"</formula1>
    </dataValidation>
    <dataValidation type="list" allowBlank="1" showInputMessage="1" showErrorMessage="1" sqref="C37" xr:uid="{00000000-0002-0000-1400-00000C000000}">
      <formula1>"Owned,Developed,Sponsored"</formula1>
    </dataValidation>
    <dataValidation type="list" allowBlank="1" showInputMessage="1" showErrorMessage="1" sqref="E123:E131" xr:uid="{00000000-0002-0000-1400-00000D000000}">
      <formula1>"Applied,Secured"</formula1>
    </dataValidation>
    <dataValidation type="list" allowBlank="1" showInputMessage="1" showErrorMessage="1" sqref="C94" xr:uid="{00000000-0002-0000-1400-00000E000000}">
      <formula1>"30%-48%,&gt;48%-66%,Greater than 66%"</formula1>
    </dataValidation>
    <dataValidation type="list" allowBlank="1" showInputMessage="1" showErrorMessage="1" sqref="H61" xr:uid="{00000000-0002-0000-1400-00000F000000}">
      <formula1>"0,1,2,3,4,5"</formula1>
    </dataValidation>
    <dataValidation type="list" allowBlank="1" showInputMessage="1" showErrorMessage="1" sqref="H92" xr:uid="{00000000-0002-0000-1400-000010000000}">
      <formula1>"0,2,3,4,5"</formula1>
    </dataValidation>
    <dataValidation type="list" allowBlank="1" showInputMessage="1" showErrorMessage="1" sqref="C87" xr:uid="{00000000-0002-0000-1400-000011000000}">
      <formula1>"Yes, No"</formula1>
    </dataValidation>
    <dataValidation type="whole" allowBlank="1" showInputMessage="1" showErrorMessage="1" sqref="C101" xr:uid="{00000000-0002-0000-1400-000012000000}">
      <formula1>0</formula1>
      <formula2>5</formula2>
    </dataValidation>
    <dataValidation type="list" allowBlank="1" showInputMessage="1" showErrorMessage="1" sqref="C118" xr:uid="{00000000-0002-0000-1400-000013000000}">
      <formula1>"15, 10, 5, 0"</formula1>
    </dataValidation>
    <dataValidation type="list" allowBlank="1" showInputMessage="1" showErrorMessage="1" sqref="H115" xr:uid="{00000000-0002-0000-1400-000014000000}">
      <formula1>"15,10,5,0"</formula1>
    </dataValidation>
    <dataValidation type="list" allowBlank="1" showInputMessage="1" showErrorMessage="1" sqref="C188" xr:uid="{00000000-0002-0000-1400-000015000000}">
      <formula1>"Very High, High, Moderate, Low, Very Low"</formula1>
    </dataValidation>
    <dataValidation type="list" allowBlank="1" showInputMessage="1" showErrorMessage="1" sqref="C195" xr:uid="{00000000-0002-0000-1400-000016000000}">
      <formula1>"General Partner Parent, 3rd Party, N/A"</formula1>
    </dataValidation>
    <dataValidation type="list" allowBlank="1" showInputMessage="1" showErrorMessage="1" sqref="H141" xr:uid="{00000000-0002-0000-1400-000017000000}">
      <formula1>"0,,5"</formula1>
    </dataValidation>
    <dataValidation type="list" allowBlank="1" showInputMessage="1" showErrorMessage="1" sqref="H97 H185" xr:uid="{00000000-0002-0000-1400-000018000000}">
      <formula1>"1,2,3,4,5"</formula1>
    </dataValidation>
  </dataValidations>
  <hyperlinks>
    <hyperlink ref="B92" r:id="rId1" xr:uid="{00000000-0004-0000-1400-000000000000}"/>
    <hyperlink ref="B97" r:id="rId2" xr:uid="{00000000-0004-0000-1400-000001000000}"/>
    <hyperlink ref="B146" r:id="rId3" xr:uid="{00000000-0004-0000-1400-000002000000}"/>
    <hyperlink ref="B161" r:id="rId4" xr:uid="{00000000-0004-0000-1400-000003000000}"/>
    <hyperlink ref="B136" r:id="rId5" xr:uid="{00000000-0004-0000-1400-000004000000}"/>
    <hyperlink ref="B185" r:id="rId6" xr:uid="{00000000-0004-0000-1400-000005000000}"/>
  </hyperlinks>
  <pageMargins left="0.7" right="0.7" top="0.75" bottom="0.75" header="0.3" footer="0.3"/>
  <pageSetup scale="36" orientation="portrait" r:id="rId7"/>
  <drawing r:id="rId8"/>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1400-000019000000}">
          <x14:formula1>
            <xm:f>Data!$J$86:$J$89</xm:f>
          </x14:formula1>
          <xm:sqref>C30 C25</xm:sqref>
        </x14:dataValidation>
        <x14:dataValidation type="list" allowBlank="1" showInputMessage="1" showErrorMessage="1" xr:uid="{00000000-0002-0000-1400-00001A000000}">
          <x14:formula1>
            <xm:f>Data!$J$82:$J$93</xm:f>
          </x14:formula1>
          <xm:sqref>C36</xm:sqref>
        </x14:dataValidation>
        <x14:dataValidation type="list" allowBlank="1" showInputMessage="1" showErrorMessage="1" xr:uid="{00000000-0002-0000-1400-00001B000000}">
          <x14:formula1>
            <xm:f>Data!$J$90:$J$91</xm:f>
          </x14:formula1>
          <xm:sqref>E25</xm:sqref>
        </x14:dataValidation>
        <x14:dataValidation type="list" allowBlank="1" showInputMessage="1" showErrorMessage="1" xr:uid="{00000000-0002-0000-1400-00001C000000}">
          <x14:formula1>
            <xm:f>Data!$J$120:$J$124</xm:f>
          </x14:formula1>
          <xm:sqref>C100</xm:sqref>
        </x14:dataValidation>
        <x14:dataValidation type="list" allowBlank="1" showInputMessage="1" showErrorMessage="1" xr:uid="{00000000-0002-0000-1400-00001D000000}">
          <x14:formula1>
            <xm:f>Data!$J$133:$J$143</xm:f>
          </x14:formula1>
          <xm:sqref>B123:C131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sheetPr>
  <dimension ref="A1:R139"/>
  <sheetViews>
    <sheetView showGridLines="0" topLeftCell="A43" zoomScale="85" zoomScaleNormal="85" workbookViewId="0">
      <selection activeCell="C105" sqref="C105"/>
    </sheetView>
  </sheetViews>
  <sheetFormatPr defaultColWidth="9" defaultRowHeight="14.25" x14ac:dyDescent="0.2"/>
  <cols>
    <col min="1" max="1" width="8.625" style="5" customWidth="1"/>
    <col min="2" max="2" width="32" style="37" customWidth="1"/>
    <col min="3" max="3" width="35.625" style="5" customWidth="1"/>
    <col min="4" max="4" width="42.5" style="5" customWidth="1"/>
    <col min="5" max="5" width="20.75" style="5" customWidth="1"/>
    <col min="6" max="6" width="24.125" style="5" customWidth="1"/>
    <col min="7" max="7" width="11.875" style="5" customWidth="1"/>
    <col min="8" max="8" width="11.125" style="5" hidden="1" customWidth="1"/>
    <col min="9" max="9" width="26.25" style="5" hidden="1" customWidth="1"/>
    <col min="10" max="14" width="7.875" style="5" hidden="1" customWidth="1"/>
    <col min="15" max="15" width="7.875" style="191" customWidth="1"/>
    <col min="16" max="17" width="9" style="191" customWidth="1"/>
    <col min="18" max="16384" width="9" style="191"/>
  </cols>
  <sheetData>
    <row r="1" spans="1:14" ht="54.95" customHeight="1" x14ac:dyDescent="0.2"/>
    <row r="2" spans="1:14" s="192" customFormat="1" ht="22.5" x14ac:dyDescent="0.3">
      <c r="A2" s="3" t="s">
        <v>6</v>
      </c>
      <c r="B2" s="94"/>
      <c r="C2" s="1"/>
      <c r="D2" s="1"/>
      <c r="E2" s="1"/>
      <c r="F2" s="1"/>
      <c r="G2" s="1"/>
      <c r="H2" s="1"/>
      <c r="I2" s="1"/>
      <c r="J2" s="1"/>
      <c r="K2" s="1"/>
      <c r="L2" s="1"/>
      <c r="M2" s="1"/>
      <c r="N2" s="1"/>
    </row>
    <row r="3" spans="1:14" s="193" customFormat="1" ht="15.75" x14ac:dyDescent="0.25">
      <c r="A3" s="146" t="str">
        <f>C5</f>
        <v>Preserved Affordability</v>
      </c>
      <c r="B3" s="95"/>
      <c r="C3" s="39"/>
      <c r="D3" s="2"/>
      <c r="E3" s="2"/>
      <c r="F3" s="2"/>
      <c r="G3" s="2"/>
      <c r="H3" s="2"/>
      <c r="I3" s="2"/>
      <c r="J3" s="2"/>
      <c r="K3" s="2"/>
      <c r="L3" s="2"/>
      <c r="M3" s="2"/>
      <c r="N3" s="2"/>
    </row>
    <row r="4" spans="1:14" x14ac:dyDescent="0.2">
      <c r="A4" s="1371" t="str">
        <f>IF(C5&lt;&gt;C9,"THIS IS THE WRONG POOL WORKBOOK -- DO NOT USE THIS WORKBOOK OR CHANGE POOL ON PROJECT DETAILS TAB","")</f>
        <v>THIS IS THE WRONG POOL WORKBOOK -- DO NOT USE THIS WORKBOOK OR CHANGE POOL ON PROJECT DETAILS TAB</v>
      </c>
      <c r="B4" s="1371"/>
      <c r="C4" s="1371"/>
      <c r="D4" s="1371"/>
      <c r="E4" s="1371"/>
      <c r="F4" s="1371"/>
    </row>
    <row r="5" spans="1:14" ht="15" x14ac:dyDescent="0.25">
      <c r="B5" s="37" t="s">
        <v>3556</v>
      </c>
      <c r="C5" s="1366" t="s">
        <v>5179</v>
      </c>
      <c r="D5" s="1366"/>
      <c r="G5" s="752"/>
      <c r="H5" s="92"/>
    </row>
    <row r="6" spans="1:14" x14ac:dyDescent="0.2">
      <c r="B6" s="37" t="s">
        <v>3903</v>
      </c>
      <c r="C6" s="836">
        <v>1000000</v>
      </c>
      <c r="G6" s="752"/>
    </row>
    <row r="7" spans="1:14" x14ac:dyDescent="0.2">
      <c r="B7" s="37" t="s">
        <v>3897</v>
      </c>
      <c r="C7" s="837">
        <f>'Housing Credits'!C43</f>
        <v>0</v>
      </c>
      <c r="D7" s="97" t="str">
        <f>IF(C7&gt;C6,"Credits Exceed Allowable Cap","")</f>
        <v/>
      </c>
      <c r="E7" s="37"/>
      <c r="G7" s="752"/>
    </row>
    <row r="8" spans="1:14" x14ac:dyDescent="0.2">
      <c r="B8" s="37" t="s">
        <v>3575</v>
      </c>
      <c r="C8" s="1379" t="str">
        <f>IF('Project Details'!C23="","[None Selected]",'Project Details'!C23)</f>
        <v>[None Selected]</v>
      </c>
      <c r="D8" s="1379"/>
      <c r="E8" s="37"/>
      <c r="G8" s="752"/>
    </row>
    <row r="9" spans="1:14" x14ac:dyDescent="0.2">
      <c r="B9" s="147"/>
      <c r="C9" s="148">
        <f>'Project Details'!C22</f>
        <v>0</v>
      </c>
      <c r="I9" s="103"/>
    </row>
    <row r="10" spans="1:14" ht="24.95" customHeight="1" x14ac:dyDescent="0.25">
      <c r="A10" s="767" t="s">
        <v>4865</v>
      </c>
      <c r="B10" s="768"/>
      <c r="C10" s="769"/>
      <c r="D10" s="769"/>
      <c r="E10" s="769"/>
      <c r="F10" s="769"/>
      <c r="I10" s="103"/>
    </row>
    <row r="11" spans="1:14" ht="15" customHeight="1" x14ac:dyDescent="0.25">
      <c r="A11" s="770"/>
      <c r="B11" s="1426" t="s">
        <v>5282</v>
      </c>
      <c r="C11" s="1427"/>
      <c r="D11" s="1427"/>
      <c r="E11" s="1427"/>
      <c r="F11" s="1427"/>
      <c r="I11" s="103"/>
    </row>
    <row r="12" spans="1:14" x14ac:dyDescent="0.2">
      <c r="B12" s="773" t="s">
        <v>4866</v>
      </c>
      <c r="C12" s="771">
        <f>'Project Details'!C26</f>
        <v>0</v>
      </c>
      <c r="D12" s="1381" t="str">
        <f>IF(C12="New Affordability","INELIGIBLE FOR POOL","")</f>
        <v/>
      </c>
      <c r="E12" s="1381"/>
      <c r="F12" s="1381"/>
      <c r="I12" s="103"/>
    </row>
    <row r="13" spans="1:14" x14ac:dyDescent="0.2">
      <c r="A13"/>
      <c r="B13" s="773" t="s">
        <v>4973</v>
      </c>
      <c r="C13" s="771">
        <f>'Project Details'!C50</f>
        <v>0</v>
      </c>
      <c r="D13" s="819"/>
      <c r="E13" s="819"/>
      <c r="F13" s="819"/>
      <c r="I13" s="103"/>
    </row>
    <row r="14" spans="1:14" x14ac:dyDescent="0.2">
      <c r="B14" s="827" t="s">
        <v>4974</v>
      </c>
      <c r="C14" s="771">
        <f>'Project Details'!G50</f>
        <v>0</v>
      </c>
      <c r="D14" s="752"/>
      <c r="E14" s="752"/>
      <c r="F14" s="752"/>
      <c r="I14" s="103"/>
    </row>
    <row r="15" spans="1:14" x14ac:dyDescent="0.2">
      <c r="B15" s="827" t="s">
        <v>5283</v>
      </c>
      <c r="C15" s="1001"/>
      <c r="D15" s="752"/>
      <c r="E15" s="752"/>
      <c r="F15" s="752"/>
      <c r="I15" s="103"/>
    </row>
    <row r="16" spans="1:14" ht="15" thickBot="1" x14ac:dyDescent="0.25">
      <c r="B16" s="147"/>
      <c r="C16" s="148"/>
      <c r="I16" s="100" t="e">
        <f>IF(F18&lt;&gt;H17,"Doesn't Match Self-Score","")</f>
        <v>#DIV/0!</v>
      </c>
    </row>
    <row r="17" spans="1:18" ht="24.95" customHeight="1" thickBot="1" x14ac:dyDescent="0.3">
      <c r="A17" s="474" t="s">
        <v>5284</v>
      </c>
      <c r="B17" s="479"/>
      <c r="C17" s="480"/>
      <c r="D17" s="481"/>
      <c r="E17" s="481"/>
      <c r="F17" s="482"/>
      <c r="G17" s="26"/>
      <c r="H17" s="128">
        <f>IF(H19+H27&gt;=15,15,SUM(H19+H27))</f>
        <v>5</v>
      </c>
      <c r="I17" s="1350" t="s">
        <v>4978</v>
      </c>
      <c r="J17" s="1351"/>
      <c r="K17" s="1351"/>
      <c r="L17" s="1351"/>
      <c r="M17" s="1351"/>
      <c r="N17" s="1352"/>
      <c r="O17" s="194"/>
      <c r="P17" s="194"/>
      <c r="Q17" s="194"/>
      <c r="R17" s="194"/>
    </row>
    <row r="18" spans="1:18" ht="14.25" customHeight="1" x14ac:dyDescent="0.25">
      <c r="A18" s="1367" t="s">
        <v>4408</v>
      </c>
      <c r="B18" s="1368"/>
      <c r="C18" s="1368"/>
      <c r="D18" s="483"/>
      <c r="E18" s="484" t="s">
        <v>3949</v>
      </c>
      <c r="F18" s="485" t="e">
        <f>IF(A19+A27&gt;=15,15,SUM(A19+A27))</f>
        <v>#DIV/0!</v>
      </c>
      <c r="G18" s="26"/>
      <c r="H18" s="9" t="s">
        <v>4783</v>
      </c>
      <c r="I18" s="1353"/>
      <c r="J18" s="1354"/>
      <c r="K18" s="1354"/>
      <c r="L18" s="1354"/>
      <c r="M18" s="1354"/>
      <c r="N18" s="1355"/>
      <c r="O18" s="194"/>
      <c r="P18" s="194"/>
      <c r="Q18" s="194"/>
      <c r="R18" s="194"/>
    </row>
    <row r="19" spans="1:18" ht="14.25" customHeight="1" x14ac:dyDescent="0.25">
      <c r="A19" s="822" t="e">
        <f>C21</f>
        <v>#DIV/0!</v>
      </c>
      <c r="B19" s="111" t="s">
        <v>5286</v>
      </c>
      <c r="C19" s="112"/>
      <c r="D19" s="114"/>
      <c r="E19" s="114"/>
      <c r="F19" s="115"/>
      <c r="G19" s="26"/>
      <c r="H19" s="262">
        <v>5</v>
      </c>
      <c r="I19" s="1356"/>
      <c r="J19" s="1357"/>
      <c r="K19" s="1357"/>
      <c r="L19" s="1357"/>
      <c r="M19" s="1357"/>
      <c r="N19" s="1358"/>
      <c r="O19" s="194"/>
      <c r="P19" s="194"/>
      <c r="Q19" s="194"/>
      <c r="R19" s="194"/>
    </row>
    <row r="20" spans="1:18" ht="29.25" customHeight="1" x14ac:dyDescent="0.25">
      <c r="A20" s="261"/>
      <c r="B20" s="490" t="s">
        <v>3948</v>
      </c>
      <c r="C20" s="1372" t="s">
        <v>5285</v>
      </c>
      <c r="D20" s="1372"/>
      <c r="E20" s="1372"/>
      <c r="F20" s="1373"/>
      <c r="G20" s="26"/>
      <c r="H20" s="9"/>
      <c r="I20" s="1356"/>
      <c r="J20" s="1357"/>
      <c r="K20" s="1357"/>
      <c r="L20" s="1357"/>
      <c r="M20" s="1357"/>
      <c r="N20" s="1358"/>
      <c r="O20" s="194"/>
      <c r="P20" s="194"/>
      <c r="Q20" s="194"/>
      <c r="R20" s="194"/>
    </row>
    <row r="21" spans="1:18" ht="14.25" customHeight="1" x14ac:dyDescent="0.25">
      <c r="A21" s="261"/>
      <c r="B21" s="37" t="s">
        <v>4656</v>
      </c>
      <c r="C21" s="829" t="e">
        <f>IF(C24&gt;55000,5,IF(C24&gt;=50001,4,IF(C24&gt;=45001,3,IF(C24&gt;=40000,2,0))))</f>
        <v>#DIV/0!</v>
      </c>
      <c r="D21" s="501"/>
      <c r="E21" s="995"/>
      <c r="F21"/>
      <c r="G21" s="26"/>
      <c r="H21" s="9"/>
      <c r="I21" s="1356"/>
      <c r="J21" s="1357"/>
      <c r="K21" s="1357"/>
      <c r="L21" s="1357"/>
      <c r="M21" s="1357"/>
      <c r="N21" s="1358"/>
      <c r="O21" s="194"/>
      <c r="P21" s="194"/>
      <c r="Q21" s="194"/>
      <c r="R21" s="194"/>
    </row>
    <row r="22" spans="1:18" ht="14.25" customHeight="1" x14ac:dyDescent="0.25">
      <c r="A22" s="261"/>
      <c r="B22" s="37" t="s">
        <v>4654</v>
      </c>
      <c r="C22" s="104">
        <f>'Budget &amp; Costs'!C45</f>
        <v>0</v>
      </c>
      <c r="D22" s="191"/>
      <c r="E22" s="191"/>
      <c r="G22" s="26"/>
      <c r="H22" s="9"/>
      <c r="I22" s="1356"/>
      <c r="J22" s="1357"/>
      <c r="K22" s="1357"/>
      <c r="L22" s="1357"/>
      <c r="M22" s="1357"/>
      <c r="N22" s="1358"/>
      <c r="O22" s="194"/>
      <c r="P22" s="194"/>
      <c r="Q22" s="194"/>
      <c r="R22" s="194"/>
    </row>
    <row r="23" spans="1:18" ht="14.25" customHeight="1" x14ac:dyDescent="0.25">
      <c r="A23" s="261"/>
      <c r="B23" s="37" t="s">
        <v>4655</v>
      </c>
      <c r="C23" s="628">
        <f>'Budget &amp; Costs'!D330</f>
        <v>0</v>
      </c>
      <c r="G23" s="26"/>
      <c r="H23" s="9"/>
      <c r="I23" s="1356"/>
      <c r="J23" s="1357"/>
      <c r="K23" s="1357"/>
      <c r="L23" s="1357"/>
      <c r="M23" s="1357"/>
      <c r="N23" s="1358"/>
      <c r="O23" s="194"/>
      <c r="P23" s="194"/>
      <c r="Q23" s="194"/>
      <c r="R23" s="194"/>
    </row>
    <row r="24" spans="1:18" ht="14.25" customHeight="1" x14ac:dyDescent="0.25">
      <c r="A24" s="261"/>
      <c r="B24" s="37" t="s">
        <v>4639</v>
      </c>
      <c r="C24" s="629" t="e">
        <f>C23/C22</f>
        <v>#DIV/0!</v>
      </c>
      <c r="D24" s="37" t="s">
        <v>4977</v>
      </c>
      <c r="E24" s="845"/>
      <c r="F24" s="830"/>
      <c r="G24" s="26"/>
      <c r="H24" s="9"/>
      <c r="I24" s="1356"/>
      <c r="J24" s="1357"/>
      <c r="K24" s="1357"/>
      <c r="L24" s="1357"/>
      <c r="M24" s="1357"/>
      <c r="N24" s="1358"/>
      <c r="O24" s="194"/>
      <c r="P24" s="194"/>
      <c r="Q24" s="194"/>
      <c r="R24" s="194"/>
    </row>
    <row r="25" spans="1:18" ht="14.25" customHeight="1" x14ac:dyDescent="0.25">
      <c r="A25" s="261"/>
      <c r="B25" s="191"/>
      <c r="C25" s="191"/>
      <c r="F25" s="830"/>
      <c r="G25" s="26"/>
      <c r="H25" s="9"/>
      <c r="I25" s="1356"/>
      <c r="J25" s="1357"/>
      <c r="K25" s="1357"/>
      <c r="L25" s="1357"/>
      <c r="M25" s="1357"/>
      <c r="N25" s="1358"/>
      <c r="O25" s="194"/>
      <c r="P25" s="194"/>
      <c r="Q25" s="194"/>
      <c r="R25" s="194"/>
    </row>
    <row r="26" spans="1:18" ht="14.25" customHeight="1" x14ac:dyDescent="0.25">
      <c r="A26" s="261"/>
      <c r="B26" s="26"/>
      <c r="C26" s="26"/>
      <c r="D26" s="26"/>
      <c r="E26" s="26"/>
      <c r="G26" s="26"/>
      <c r="H26" s="26" t="s">
        <v>4911</v>
      </c>
      <c r="I26" s="1356"/>
      <c r="J26" s="1357"/>
      <c r="K26" s="1357"/>
      <c r="L26" s="1357"/>
      <c r="M26" s="1357"/>
      <c r="N26" s="1358"/>
      <c r="O26" s="194"/>
      <c r="P26" s="194"/>
      <c r="Q26" s="194"/>
      <c r="R26" s="194"/>
    </row>
    <row r="27" spans="1:18" ht="14.25" customHeight="1" x14ac:dyDescent="0.25">
      <c r="A27" s="824">
        <f>C30</f>
        <v>0</v>
      </c>
      <c r="B27" s="124" t="s">
        <v>5287</v>
      </c>
      <c r="C27" s="125"/>
      <c r="D27" s="114"/>
      <c r="E27" s="114"/>
      <c r="F27" s="115"/>
      <c r="H27" s="262"/>
      <c r="I27" s="1356"/>
      <c r="J27" s="1357"/>
      <c r="K27" s="1357"/>
      <c r="L27" s="1357"/>
      <c r="M27" s="1357"/>
      <c r="N27" s="1358"/>
      <c r="O27" s="194"/>
      <c r="P27" s="194"/>
      <c r="Q27" s="194"/>
      <c r="R27" s="194"/>
    </row>
    <row r="28" spans="1:18" ht="14.25" customHeight="1" x14ac:dyDescent="0.25">
      <c r="A28" s="261"/>
      <c r="B28" s="491" t="s">
        <v>3948</v>
      </c>
      <c r="C28" s="117" t="s">
        <v>4462</v>
      </c>
      <c r="D28" s="118"/>
      <c r="E28" s="118"/>
      <c r="F28" s="119"/>
      <c r="H28" s="26"/>
      <c r="I28" s="1356"/>
      <c r="J28" s="1357"/>
      <c r="K28" s="1357"/>
      <c r="L28" s="1357"/>
      <c r="M28" s="1357"/>
      <c r="N28" s="1358"/>
      <c r="O28" s="194"/>
      <c r="P28" s="194"/>
      <c r="Q28" s="194"/>
      <c r="R28" s="194"/>
    </row>
    <row r="29" spans="1:18" ht="14.25" customHeight="1" x14ac:dyDescent="0.25">
      <c r="A29" s="261"/>
      <c r="B29" s="37" t="s">
        <v>5004</v>
      </c>
      <c r="C29" s="782"/>
      <c r="D29" s="26"/>
      <c r="E29" s="26"/>
      <c r="H29" s="26"/>
      <c r="I29" s="1356"/>
      <c r="J29" s="1357"/>
      <c r="K29" s="1357"/>
      <c r="L29" s="1357"/>
      <c r="M29" s="1357"/>
      <c r="N29" s="1358"/>
      <c r="O29" s="194"/>
      <c r="P29" s="194"/>
      <c r="Q29" s="194"/>
      <c r="R29" s="194"/>
    </row>
    <row r="30" spans="1:18" ht="14.25" customHeight="1" x14ac:dyDescent="0.25">
      <c r="A30" s="261"/>
      <c r="B30" s="37" t="s">
        <v>4656</v>
      </c>
      <c r="C30" s="775">
        <f>IF(C29="Onsite fitness area",5,IF(C29="Facility partnership",5,IF(C29="Onsite health/wellness clinic",5,0)))</f>
        <v>0</v>
      </c>
      <c r="D30" s="26"/>
      <c r="E30" s="26"/>
      <c r="H30" s="26"/>
      <c r="I30" s="1356"/>
      <c r="J30" s="1357"/>
      <c r="K30" s="1357"/>
      <c r="L30" s="1357"/>
      <c r="M30" s="1357"/>
      <c r="N30" s="1358"/>
      <c r="O30" s="194"/>
      <c r="P30" s="194"/>
      <c r="Q30" s="194"/>
      <c r="R30" s="194"/>
    </row>
    <row r="31" spans="1:18" ht="14.25" customHeight="1" x14ac:dyDescent="0.25">
      <c r="A31" s="261"/>
      <c r="B31" s="5"/>
      <c r="C31" s="26"/>
      <c r="D31" s="26"/>
      <c r="E31" s="26"/>
      <c r="H31" s="26"/>
      <c r="I31" s="1356"/>
      <c r="J31" s="1357"/>
      <c r="K31" s="1357"/>
      <c r="L31" s="1357"/>
      <c r="M31" s="1357"/>
      <c r="N31" s="1358"/>
      <c r="O31" s="194"/>
      <c r="P31" s="194"/>
      <c r="Q31" s="194"/>
      <c r="R31" s="194"/>
    </row>
    <row r="32" spans="1:18" ht="32.25" customHeight="1" x14ac:dyDescent="0.2">
      <c r="A32" s="493"/>
      <c r="B32" s="494" t="s">
        <v>4463</v>
      </c>
      <c r="C32" s="1369" t="s">
        <v>4466</v>
      </c>
      <c r="D32" s="1369"/>
      <c r="E32" s="1369"/>
      <c r="F32" s="1369"/>
      <c r="H32" s="26"/>
      <c r="I32" s="1356"/>
      <c r="J32" s="1357"/>
      <c r="K32" s="1357"/>
      <c r="L32" s="1357"/>
      <c r="M32" s="1357"/>
      <c r="N32" s="1358"/>
      <c r="O32" s="194"/>
      <c r="P32" s="194"/>
      <c r="Q32" s="194"/>
      <c r="R32" s="194"/>
    </row>
    <row r="33" spans="1:18" ht="14.25" customHeight="1" x14ac:dyDescent="0.2">
      <c r="A33" s="493"/>
      <c r="B33" s="5"/>
      <c r="C33" s="26"/>
      <c r="D33" s="26"/>
      <c r="E33" s="26"/>
      <c r="H33" s="26"/>
      <c r="I33" s="1356"/>
      <c r="J33" s="1357"/>
      <c r="K33" s="1357"/>
      <c r="L33" s="1357"/>
      <c r="M33" s="1357"/>
      <c r="N33" s="1358"/>
      <c r="O33" s="194"/>
      <c r="P33" s="194"/>
      <c r="Q33" s="194"/>
      <c r="R33" s="194"/>
    </row>
    <row r="34" spans="1:18" ht="45" customHeight="1" x14ac:dyDescent="0.2">
      <c r="A34" s="493"/>
      <c r="B34" s="494" t="s">
        <v>4464</v>
      </c>
      <c r="C34" s="1369" t="s">
        <v>4467</v>
      </c>
      <c r="D34" s="1369"/>
      <c r="E34" s="1369"/>
      <c r="F34" s="1369"/>
      <c r="H34" s="26"/>
      <c r="I34" s="1356"/>
      <c r="J34" s="1357"/>
      <c r="K34" s="1357"/>
      <c r="L34" s="1357"/>
      <c r="M34" s="1357"/>
      <c r="N34" s="1358"/>
      <c r="O34" s="194"/>
      <c r="P34" s="194"/>
      <c r="Q34" s="194"/>
      <c r="R34" s="194"/>
    </row>
    <row r="35" spans="1:18" ht="14.25" customHeight="1" x14ac:dyDescent="0.2">
      <c r="A35" s="493"/>
      <c r="B35" s="5"/>
      <c r="C35" s="26"/>
      <c r="D35" s="26"/>
      <c r="E35" s="26"/>
      <c r="H35" s="26"/>
      <c r="I35" s="1356"/>
      <c r="J35" s="1357"/>
      <c r="K35" s="1357"/>
      <c r="L35" s="1357"/>
      <c r="M35" s="1357"/>
      <c r="N35" s="1358"/>
      <c r="O35" s="194"/>
      <c r="P35" s="194"/>
      <c r="Q35" s="194"/>
      <c r="R35" s="194"/>
    </row>
    <row r="36" spans="1:18" ht="45.75" customHeight="1" x14ac:dyDescent="0.2">
      <c r="A36" s="493"/>
      <c r="B36" s="494" t="s">
        <v>4465</v>
      </c>
      <c r="C36" s="1369" t="s">
        <v>4468</v>
      </c>
      <c r="D36" s="1369"/>
      <c r="E36" s="1369"/>
      <c r="F36" s="1369"/>
      <c r="H36" s="26"/>
      <c r="I36" s="1356"/>
      <c r="J36" s="1357"/>
      <c r="K36" s="1357"/>
      <c r="L36" s="1357"/>
      <c r="M36" s="1357"/>
      <c r="N36" s="1358"/>
      <c r="O36" s="194"/>
      <c r="P36" s="194"/>
      <c r="Q36" s="194"/>
      <c r="R36" s="194"/>
    </row>
    <row r="37" spans="1:18" ht="14.25" customHeight="1" thickBot="1" x14ac:dyDescent="0.3">
      <c r="A37" s="261"/>
      <c r="B37" s="5"/>
      <c r="C37" s="26"/>
      <c r="D37" s="26"/>
      <c r="E37" s="26"/>
      <c r="H37" s="9"/>
      <c r="I37" s="1359"/>
      <c r="J37" s="1360"/>
      <c r="K37" s="1360"/>
      <c r="L37" s="1360"/>
      <c r="M37" s="1360"/>
      <c r="N37" s="1361"/>
      <c r="O37" s="194"/>
      <c r="P37" s="194"/>
      <c r="Q37" s="194"/>
      <c r="R37" s="194"/>
    </row>
    <row r="38" spans="1:18" ht="14.25" customHeight="1" thickBot="1" x14ac:dyDescent="0.3">
      <c r="A38" s="261"/>
      <c r="B38" s="5"/>
      <c r="C38" s="26"/>
      <c r="D38" s="26"/>
      <c r="E38" s="26"/>
      <c r="H38" s="26"/>
      <c r="I38" s="100" t="str">
        <f>IF(H39&lt;&gt;F40,"Doesn't Match Self-Score","")</f>
        <v/>
      </c>
      <c r="J38" s="93"/>
      <c r="K38" s="93"/>
      <c r="L38" s="93"/>
      <c r="M38" s="93"/>
      <c r="N38" s="93"/>
      <c r="O38" s="194"/>
      <c r="P38" s="194"/>
      <c r="Q38" s="194"/>
      <c r="R38" s="194"/>
    </row>
    <row r="39" spans="1:18" ht="24.95" customHeight="1" thickBot="1" x14ac:dyDescent="0.3">
      <c r="A39" s="474" t="s">
        <v>5288</v>
      </c>
      <c r="B39" s="479"/>
      <c r="C39" s="480"/>
      <c r="D39" s="106"/>
      <c r="E39" s="477"/>
      <c r="F39" s="478"/>
      <c r="H39" s="128">
        <f>MAX(H41,H56,H73,H89)</f>
        <v>0</v>
      </c>
      <c r="I39" s="1363" t="s">
        <v>4986</v>
      </c>
      <c r="J39" s="1364"/>
      <c r="K39" s="1364"/>
      <c r="L39" s="1364"/>
      <c r="M39" s="1364"/>
      <c r="N39" s="1365"/>
      <c r="O39" s="194"/>
      <c r="P39" s="194"/>
      <c r="Q39" s="194"/>
      <c r="R39" s="194"/>
    </row>
    <row r="40" spans="1:18" ht="14.25" customHeight="1" x14ac:dyDescent="0.25">
      <c r="A40" s="1367" t="s">
        <v>4621</v>
      </c>
      <c r="B40" s="1368"/>
      <c r="C40" s="1368"/>
      <c r="D40" s="110"/>
      <c r="E40" s="475" t="s">
        <v>3949</v>
      </c>
      <c r="F40" s="476">
        <f>MAX(A41,A56,A73,A89)</f>
        <v>0</v>
      </c>
      <c r="H40" s="9" t="s">
        <v>4982</v>
      </c>
      <c r="I40" s="1405"/>
      <c r="J40" s="1406"/>
      <c r="K40" s="1406"/>
      <c r="L40" s="1406"/>
      <c r="M40" s="1406"/>
      <c r="N40" s="1407"/>
      <c r="O40" s="194"/>
      <c r="P40" s="194"/>
      <c r="Q40" s="194"/>
      <c r="R40" s="194"/>
    </row>
    <row r="41" spans="1:18" ht="14.25" customHeight="1" x14ac:dyDescent="0.25">
      <c r="A41" s="262"/>
      <c r="B41" s="124" t="s">
        <v>4657</v>
      </c>
      <c r="C41" s="125"/>
      <c r="D41" s="114"/>
      <c r="E41" s="114"/>
      <c r="F41" s="115"/>
      <c r="H41" s="262"/>
      <c r="I41" s="1408"/>
      <c r="J41" s="1409"/>
      <c r="K41" s="1409"/>
      <c r="L41" s="1409"/>
      <c r="M41" s="1409"/>
      <c r="N41" s="1410"/>
      <c r="O41" s="194"/>
      <c r="P41" s="194"/>
      <c r="Q41" s="194"/>
      <c r="R41" s="194"/>
    </row>
    <row r="42" spans="1:18" ht="31.5" customHeight="1" x14ac:dyDescent="0.25">
      <c r="A42" s="261"/>
      <c r="B42" s="602" t="s">
        <v>3948</v>
      </c>
      <c r="C42" s="1392" t="s">
        <v>4663</v>
      </c>
      <c r="D42" s="1392"/>
      <c r="E42" s="1392"/>
      <c r="F42" s="1393"/>
      <c r="H42" s="9"/>
      <c r="I42" s="1408"/>
      <c r="J42" s="1409"/>
      <c r="K42" s="1409"/>
      <c r="L42" s="1409"/>
      <c r="M42" s="1409"/>
      <c r="N42" s="1410"/>
      <c r="O42" s="194"/>
      <c r="P42" s="194"/>
      <c r="Q42" s="194"/>
      <c r="R42" s="194"/>
    </row>
    <row r="43" spans="1:18" ht="16.5" customHeight="1" x14ac:dyDescent="0.25">
      <c r="A43" s="261"/>
      <c r="B43" s="490"/>
      <c r="C43" s="1260" t="s">
        <v>4660</v>
      </c>
      <c r="D43" s="1260"/>
      <c r="E43" s="1260"/>
      <c r="F43" s="1261"/>
      <c r="H43" s="9"/>
      <c r="I43" s="1408"/>
      <c r="J43" s="1409"/>
      <c r="K43" s="1409"/>
      <c r="L43" s="1409"/>
      <c r="M43" s="1409"/>
      <c r="N43" s="1410"/>
      <c r="O43" s="194"/>
      <c r="P43" s="194"/>
      <c r="Q43" s="194"/>
      <c r="R43" s="194"/>
    </row>
    <row r="44" spans="1:18" ht="14.25" customHeight="1" x14ac:dyDescent="0.25">
      <c r="A44" s="261"/>
      <c r="B44" s="37" t="s">
        <v>4661</v>
      </c>
      <c r="C44" s="264"/>
      <c r="D44" s="191"/>
      <c r="E44" s="26"/>
      <c r="H44" s="9"/>
      <c r="I44" s="1408"/>
      <c r="J44" s="1409"/>
      <c r="K44" s="1409"/>
      <c r="L44" s="1409"/>
      <c r="M44" s="1409"/>
      <c r="N44" s="1410"/>
      <c r="O44" s="194"/>
      <c r="P44" s="194"/>
      <c r="Q44" s="194"/>
      <c r="R44" s="194"/>
    </row>
    <row r="45" spans="1:18" ht="14.25" customHeight="1" x14ac:dyDescent="0.25">
      <c r="A45" s="261"/>
      <c r="B45" s="37" t="s">
        <v>4662</v>
      </c>
      <c r="C45" s="264"/>
      <c r="D45" s="1398"/>
      <c r="E45" s="1399"/>
      <c r="F45" s="1399"/>
      <c r="H45" s="9"/>
      <c r="I45" s="1408"/>
      <c r="J45" s="1409"/>
      <c r="K45" s="1409"/>
      <c r="L45" s="1409"/>
      <c r="M45" s="1409"/>
      <c r="N45" s="1410"/>
      <c r="O45" s="194"/>
      <c r="P45" s="194"/>
      <c r="Q45" s="194"/>
      <c r="R45" s="194"/>
    </row>
    <row r="46" spans="1:18" ht="14.25" customHeight="1" x14ac:dyDescent="0.25">
      <c r="A46" s="261"/>
      <c r="D46" s="26"/>
      <c r="E46" s="26"/>
      <c r="H46" s="9"/>
      <c r="I46" s="1408"/>
      <c r="J46" s="1409"/>
      <c r="K46" s="1409"/>
      <c r="L46" s="1409"/>
      <c r="M46" s="1409"/>
      <c r="N46" s="1410"/>
      <c r="O46" s="194"/>
      <c r="P46" s="194"/>
      <c r="Q46" s="194"/>
      <c r="R46" s="194"/>
    </row>
    <row r="47" spans="1:18" ht="14.25" customHeight="1" x14ac:dyDescent="0.25">
      <c r="A47" s="261"/>
      <c r="B47" s="5" t="s">
        <v>3955</v>
      </c>
      <c r="C47"/>
      <c r="D47" s="26"/>
      <c r="E47" s="26"/>
      <c r="H47" s="9"/>
      <c r="I47" s="1408"/>
      <c r="J47" s="1409"/>
      <c r="K47" s="1409"/>
      <c r="L47" s="1409"/>
      <c r="M47" s="1409"/>
      <c r="N47" s="1410"/>
      <c r="O47" s="194"/>
      <c r="P47" s="194"/>
      <c r="Q47" s="194"/>
      <c r="R47" s="194"/>
    </row>
    <row r="48" spans="1:18" ht="14.25" customHeight="1" x14ac:dyDescent="0.25">
      <c r="A48" s="261"/>
      <c r="B48" s="1205"/>
      <c r="C48" s="1205"/>
      <c r="D48" s="1205"/>
      <c r="E48" s="1205"/>
      <c r="F48" s="1205"/>
      <c r="H48" s="9"/>
      <c r="I48" s="1408"/>
      <c r="J48" s="1409"/>
      <c r="K48" s="1409"/>
      <c r="L48" s="1409"/>
      <c r="M48" s="1409"/>
      <c r="N48" s="1410"/>
      <c r="O48" s="194"/>
      <c r="P48" s="194"/>
      <c r="Q48" s="194"/>
      <c r="R48" s="194"/>
    </row>
    <row r="49" spans="1:18" ht="14.25" customHeight="1" x14ac:dyDescent="0.25">
      <c r="A49" s="261"/>
      <c r="B49" s="1205"/>
      <c r="C49" s="1205"/>
      <c r="D49" s="1205"/>
      <c r="E49" s="1205"/>
      <c r="F49" s="1205"/>
      <c r="H49" s="9"/>
      <c r="I49" s="1408"/>
      <c r="J49" s="1409"/>
      <c r="K49" s="1409"/>
      <c r="L49" s="1409"/>
      <c r="M49" s="1409"/>
      <c r="N49" s="1410"/>
      <c r="O49" s="194"/>
      <c r="P49" s="194"/>
      <c r="Q49" s="194"/>
      <c r="R49" s="194"/>
    </row>
    <row r="50" spans="1:18" ht="14.25" customHeight="1" x14ac:dyDescent="0.25">
      <c r="A50" s="261"/>
      <c r="B50" s="1205"/>
      <c r="C50" s="1205"/>
      <c r="D50" s="1205"/>
      <c r="E50" s="1205"/>
      <c r="F50" s="1205"/>
      <c r="H50" s="9"/>
      <c r="I50" s="1408"/>
      <c r="J50" s="1409"/>
      <c r="K50" s="1409"/>
      <c r="L50" s="1409"/>
      <c r="M50" s="1409"/>
      <c r="N50" s="1410"/>
      <c r="O50" s="194"/>
      <c r="P50" s="194"/>
      <c r="Q50" s="194"/>
      <c r="R50" s="194"/>
    </row>
    <row r="51" spans="1:18" ht="14.25" customHeight="1" x14ac:dyDescent="0.25">
      <c r="A51" s="261"/>
      <c r="B51" s="1205"/>
      <c r="C51" s="1205"/>
      <c r="D51" s="1205"/>
      <c r="E51" s="1205"/>
      <c r="F51" s="1205"/>
      <c r="H51" s="9"/>
      <c r="I51" s="1408"/>
      <c r="J51" s="1409"/>
      <c r="K51" s="1409"/>
      <c r="L51" s="1409"/>
      <c r="M51" s="1409"/>
      <c r="N51" s="1410"/>
      <c r="O51" s="194"/>
      <c r="P51" s="194"/>
      <c r="Q51" s="194"/>
      <c r="R51" s="194"/>
    </row>
    <row r="52" spans="1:18" ht="14.25" customHeight="1" x14ac:dyDescent="0.25">
      <c r="A52" s="261"/>
      <c r="B52" s="1205"/>
      <c r="C52" s="1205"/>
      <c r="D52" s="1205"/>
      <c r="E52" s="1205"/>
      <c r="F52" s="1205"/>
      <c r="H52" s="9"/>
      <c r="I52" s="1408"/>
      <c r="J52" s="1409"/>
      <c r="K52" s="1409"/>
      <c r="L52" s="1409"/>
      <c r="M52" s="1409"/>
      <c r="N52" s="1410"/>
      <c r="O52" s="194"/>
      <c r="P52" s="194"/>
      <c r="Q52" s="194"/>
      <c r="R52" s="194"/>
    </row>
    <row r="53" spans="1:18" ht="14.25" customHeight="1" x14ac:dyDescent="0.25">
      <c r="A53" s="261"/>
      <c r="B53" s="1205"/>
      <c r="C53" s="1205"/>
      <c r="D53" s="1205"/>
      <c r="E53" s="1205"/>
      <c r="F53" s="1205"/>
      <c r="H53" s="9"/>
      <c r="I53" s="1408"/>
      <c r="J53" s="1409"/>
      <c r="K53" s="1409"/>
      <c r="L53" s="1409"/>
      <c r="M53" s="1409"/>
      <c r="N53" s="1410"/>
      <c r="O53" s="194"/>
      <c r="P53" s="194"/>
      <c r="Q53" s="194"/>
      <c r="R53" s="194"/>
    </row>
    <row r="54" spans="1:18" ht="14.25" customHeight="1" x14ac:dyDescent="0.25">
      <c r="A54" s="261"/>
      <c r="B54" s="1205"/>
      <c r="C54" s="1205"/>
      <c r="D54" s="1205"/>
      <c r="E54" s="1205"/>
      <c r="F54" s="1205"/>
      <c r="H54" s="9"/>
      <c r="I54" s="1408"/>
      <c r="J54" s="1409"/>
      <c r="K54" s="1409"/>
      <c r="L54" s="1409"/>
      <c r="M54" s="1409"/>
      <c r="N54" s="1410"/>
      <c r="O54" s="194"/>
      <c r="P54" s="194"/>
      <c r="Q54" s="194"/>
      <c r="R54" s="194"/>
    </row>
    <row r="55" spans="1:18" ht="14.25" customHeight="1" x14ac:dyDescent="0.25">
      <c r="A55" s="261"/>
      <c r="B55" s="5"/>
      <c r="C55"/>
      <c r="D55" s="26"/>
      <c r="E55" s="26"/>
      <c r="H55" s="9" t="s">
        <v>4983</v>
      </c>
      <c r="I55" s="1408"/>
      <c r="J55" s="1409"/>
      <c r="K55" s="1409"/>
      <c r="L55" s="1409"/>
      <c r="M55" s="1409"/>
      <c r="N55" s="1410"/>
      <c r="O55" s="194"/>
      <c r="P55" s="194"/>
      <c r="Q55" s="194"/>
      <c r="R55" s="194"/>
    </row>
    <row r="56" spans="1:18" ht="14.25" customHeight="1" x14ac:dyDescent="0.25">
      <c r="A56" s="262"/>
      <c r="B56" s="124" t="s">
        <v>4658</v>
      </c>
      <c r="C56" s="125"/>
      <c r="D56" s="114"/>
      <c r="E56" s="114"/>
      <c r="F56" s="115"/>
      <c r="H56" s="262"/>
      <c r="I56" s="1408"/>
      <c r="J56" s="1409"/>
      <c r="K56" s="1409"/>
      <c r="L56" s="1409"/>
      <c r="M56" s="1409"/>
      <c r="N56" s="1410"/>
      <c r="O56" s="194"/>
      <c r="P56" s="194"/>
      <c r="Q56" s="194"/>
      <c r="R56" s="194"/>
    </row>
    <row r="57" spans="1:18" ht="73.5" customHeight="1" x14ac:dyDescent="0.25">
      <c r="A57" s="261"/>
      <c r="B57" s="490" t="s">
        <v>3948</v>
      </c>
      <c r="C57" s="1260" t="s">
        <v>5922</v>
      </c>
      <c r="D57" s="1260"/>
      <c r="E57" s="1260"/>
      <c r="F57" s="1261"/>
      <c r="H57" s="9"/>
      <c r="I57" s="1408"/>
      <c r="J57" s="1409"/>
      <c r="K57" s="1409"/>
      <c r="L57" s="1409"/>
      <c r="M57" s="1409"/>
      <c r="N57" s="1410"/>
      <c r="O57" s="194"/>
      <c r="P57" s="194"/>
      <c r="Q57" s="194"/>
      <c r="R57" s="194"/>
    </row>
    <row r="58" spans="1:18" ht="14.25" customHeight="1" x14ac:dyDescent="0.25">
      <c r="A58" s="261"/>
      <c r="B58" s="5"/>
      <c r="D58" s="26"/>
      <c r="E58" s="26"/>
      <c r="H58" s="9"/>
      <c r="I58" s="1408"/>
      <c r="J58" s="1409"/>
      <c r="K58" s="1409"/>
      <c r="L58" s="1409"/>
      <c r="M58" s="1409"/>
      <c r="N58" s="1410"/>
      <c r="O58" s="194"/>
      <c r="P58" s="194"/>
      <c r="Q58" s="194"/>
      <c r="R58" s="194"/>
    </row>
    <row r="59" spans="1:18" ht="14.25" customHeight="1" x14ac:dyDescent="0.25">
      <c r="A59" s="261"/>
      <c r="B59" s="5" t="s">
        <v>3956</v>
      </c>
      <c r="C59"/>
      <c r="D59" s="26"/>
      <c r="E59" s="26"/>
      <c r="H59" s="9"/>
      <c r="I59" s="1408"/>
      <c r="J59" s="1409"/>
      <c r="K59" s="1409"/>
      <c r="L59" s="1409"/>
      <c r="M59" s="1409"/>
      <c r="N59" s="1410"/>
      <c r="O59" s="194"/>
      <c r="P59" s="194"/>
      <c r="Q59" s="194"/>
      <c r="R59" s="194"/>
    </row>
    <row r="60" spans="1:18" ht="14.25" customHeight="1" x14ac:dyDescent="0.25">
      <c r="A60" s="261"/>
      <c r="B60" s="1205"/>
      <c r="C60" s="1205"/>
      <c r="D60" s="1205"/>
      <c r="E60" s="1205"/>
      <c r="F60" s="1205"/>
      <c r="H60" s="9"/>
      <c r="I60" s="1408"/>
      <c r="J60" s="1409"/>
      <c r="K60" s="1409"/>
      <c r="L60" s="1409"/>
      <c r="M60" s="1409"/>
      <c r="N60" s="1410"/>
      <c r="O60" s="194"/>
      <c r="P60" s="194"/>
      <c r="Q60" s="194"/>
      <c r="R60" s="194"/>
    </row>
    <row r="61" spans="1:18" ht="14.25" customHeight="1" x14ac:dyDescent="0.25">
      <c r="A61" s="261"/>
      <c r="B61" s="1205"/>
      <c r="C61" s="1205"/>
      <c r="D61" s="1205"/>
      <c r="E61" s="1205"/>
      <c r="F61" s="1205"/>
      <c r="H61" s="9"/>
      <c r="I61" s="1408"/>
      <c r="J61" s="1409"/>
      <c r="K61" s="1409"/>
      <c r="L61" s="1409"/>
      <c r="M61" s="1409"/>
      <c r="N61" s="1410"/>
      <c r="O61" s="194"/>
      <c r="P61" s="194"/>
      <c r="Q61" s="194"/>
      <c r="R61" s="194"/>
    </row>
    <row r="62" spans="1:18" ht="14.25" customHeight="1" x14ac:dyDescent="0.25">
      <c r="A62" s="261"/>
      <c r="B62" s="1205"/>
      <c r="C62" s="1205"/>
      <c r="D62" s="1205"/>
      <c r="E62" s="1205"/>
      <c r="F62" s="1205"/>
      <c r="H62" s="9"/>
      <c r="I62" s="1408"/>
      <c r="J62" s="1409"/>
      <c r="K62" s="1409"/>
      <c r="L62" s="1409"/>
      <c r="M62" s="1409"/>
      <c r="N62" s="1410"/>
      <c r="O62" s="194"/>
      <c r="P62" s="194"/>
      <c r="Q62" s="194"/>
      <c r="R62" s="194"/>
    </row>
    <row r="63" spans="1:18" ht="14.25" customHeight="1" x14ac:dyDescent="0.25">
      <c r="A63" s="261"/>
      <c r="B63" s="1205"/>
      <c r="C63" s="1205"/>
      <c r="D63" s="1205"/>
      <c r="E63" s="1205"/>
      <c r="F63" s="1205"/>
      <c r="H63" s="9"/>
      <c r="I63" s="1408"/>
      <c r="J63" s="1409"/>
      <c r="K63" s="1409"/>
      <c r="L63" s="1409"/>
      <c r="M63" s="1409"/>
      <c r="N63" s="1410"/>
      <c r="O63" s="194"/>
      <c r="P63" s="194"/>
      <c r="Q63" s="194"/>
      <c r="R63" s="194"/>
    </row>
    <row r="64" spans="1:18" ht="14.25" customHeight="1" x14ac:dyDescent="0.25">
      <c r="A64" s="261"/>
      <c r="B64" s="1205"/>
      <c r="C64" s="1205"/>
      <c r="D64" s="1205"/>
      <c r="E64" s="1205"/>
      <c r="F64" s="1205"/>
      <c r="H64" s="9"/>
      <c r="I64" s="1408"/>
      <c r="J64" s="1409"/>
      <c r="K64" s="1409"/>
      <c r="L64" s="1409"/>
      <c r="M64" s="1409"/>
      <c r="N64" s="1410"/>
      <c r="O64" s="194"/>
      <c r="P64" s="194"/>
      <c r="Q64" s="194"/>
      <c r="R64" s="194"/>
    </row>
    <row r="65" spans="1:18" ht="14.25" customHeight="1" x14ac:dyDescent="0.25">
      <c r="A65" s="261"/>
      <c r="B65" s="1205"/>
      <c r="C65" s="1205"/>
      <c r="D65" s="1205"/>
      <c r="E65" s="1205"/>
      <c r="F65" s="1205"/>
      <c r="H65" s="9"/>
      <c r="I65" s="1408"/>
      <c r="J65" s="1409"/>
      <c r="K65" s="1409"/>
      <c r="L65" s="1409"/>
      <c r="M65" s="1409"/>
      <c r="N65" s="1410"/>
      <c r="O65" s="194"/>
      <c r="P65" s="194"/>
      <c r="Q65" s="194"/>
      <c r="R65" s="194"/>
    </row>
    <row r="66" spans="1:18" ht="14.25" customHeight="1" x14ac:dyDescent="0.25">
      <c r="A66" s="261"/>
      <c r="B66" s="1205"/>
      <c r="C66" s="1205"/>
      <c r="D66" s="1205"/>
      <c r="E66" s="1205"/>
      <c r="F66" s="1205"/>
      <c r="H66" s="9"/>
      <c r="I66" s="1408"/>
      <c r="J66" s="1409"/>
      <c r="K66" s="1409"/>
      <c r="L66" s="1409"/>
      <c r="M66" s="1409"/>
      <c r="N66" s="1410"/>
      <c r="O66" s="194"/>
      <c r="P66" s="194"/>
      <c r="Q66" s="194"/>
      <c r="R66" s="194"/>
    </row>
    <row r="67" spans="1:18" ht="14.25" customHeight="1" x14ac:dyDescent="0.25">
      <c r="A67" s="261"/>
      <c r="B67" s="5"/>
      <c r="H67" s="9"/>
      <c r="I67" s="1408"/>
      <c r="J67" s="1409"/>
      <c r="K67" s="1409"/>
      <c r="L67" s="1409"/>
      <c r="M67" s="1409"/>
      <c r="N67" s="1410"/>
      <c r="O67" s="194"/>
      <c r="P67" s="194"/>
      <c r="Q67" s="194"/>
      <c r="R67" s="194"/>
    </row>
    <row r="68" spans="1:18" ht="14.25" customHeight="1" x14ac:dyDescent="0.25">
      <c r="A68" s="261"/>
      <c r="B68" s="696" t="s">
        <v>5923</v>
      </c>
      <c r="C68" s="696" t="s">
        <v>4975</v>
      </c>
      <c r="D68" s="828" t="s">
        <v>4976</v>
      </c>
      <c r="E68" s="696" t="s">
        <v>4782</v>
      </c>
      <c r="F68" s="191"/>
      <c r="H68" s="9"/>
      <c r="I68" s="1408"/>
      <c r="J68" s="1409"/>
      <c r="K68" s="1409"/>
      <c r="L68" s="1409"/>
      <c r="M68" s="1409"/>
      <c r="N68" s="1410"/>
      <c r="O68" s="194"/>
      <c r="P68" s="194"/>
      <c r="Q68" s="194"/>
      <c r="R68" s="194"/>
    </row>
    <row r="69" spans="1:18" ht="14.25" customHeight="1" x14ac:dyDescent="0.25">
      <c r="A69" s="261"/>
      <c r="B69" s="693"/>
      <c r="C69" s="693"/>
      <c r="D69" s="693"/>
      <c r="E69" s="1423"/>
      <c r="F69" s="1423"/>
      <c r="H69" s="9"/>
      <c r="I69" s="1408"/>
      <c r="J69" s="1409"/>
      <c r="K69" s="1409"/>
      <c r="L69" s="1409"/>
      <c r="M69" s="1409"/>
      <c r="N69" s="1410"/>
      <c r="O69" s="194"/>
      <c r="P69" s="194"/>
      <c r="Q69" s="194"/>
      <c r="R69" s="194"/>
    </row>
    <row r="70" spans="1:18" ht="14.25" customHeight="1" x14ac:dyDescent="0.25">
      <c r="A70" s="261"/>
      <c r="B70" s="693"/>
      <c r="C70" s="693"/>
      <c r="D70" s="693"/>
      <c r="E70" s="1423"/>
      <c r="F70" s="1423"/>
      <c r="H70" s="9"/>
      <c r="I70" s="1408"/>
      <c r="J70" s="1409"/>
      <c r="K70" s="1409"/>
      <c r="L70" s="1409"/>
      <c r="M70" s="1409"/>
      <c r="N70" s="1410"/>
      <c r="O70" s="194"/>
      <c r="P70" s="194"/>
      <c r="Q70" s="194"/>
      <c r="R70" s="194"/>
    </row>
    <row r="71" spans="1:18" ht="14.25" customHeight="1" x14ac:dyDescent="0.25">
      <c r="A71" s="261"/>
      <c r="B71" s="693"/>
      <c r="C71" s="693"/>
      <c r="D71" s="693"/>
      <c r="E71" s="1423"/>
      <c r="F71" s="1423"/>
      <c r="H71" s="9"/>
      <c r="I71" s="1408"/>
      <c r="J71" s="1409"/>
      <c r="K71" s="1409"/>
      <c r="L71" s="1409"/>
      <c r="M71" s="1409"/>
      <c r="N71" s="1410"/>
      <c r="O71" s="194"/>
      <c r="P71" s="194"/>
      <c r="Q71" s="194"/>
      <c r="R71" s="194"/>
    </row>
    <row r="72" spans="1:18" ht="14.25" customHeight="1" x14ac:dyDescent="0.25">
      <c r="A72" s="261"/>
      <c r="B72" s="5"/>
      <c r="C72"/>
      <c r="D72" s="26"/>
      <c r="E72" s="26"/>
      <c r="H72" s="9" t="s">
        <v>4984</v>
      </c>
      <c r="I72" s="1408"/>
      <c r="J72" s="1409"/>
      <c r="K72" s="1409"/>
      <c r="L72" s="1409"/>
      <c r="M72" s="1409"/>
      <c r="N72" s="1410"/>
      <c r="O72" s="194"/>
      <c r="P72" s="194"/>
      <c r="Q72" s="194"/>
      <c r="R72" s="194"/>
    </row>
    <row r="73" spans="1:18" ht="15" x14ac:dyDescent="0.25">
      <c r="A73" s="262"/>
      <c r="B73" s="124" t="s">
        <v>4659</v>
      </c>
      <c r="C73" s="125"/>
      <c r="D73" s="114"/>
      <c r="E73" s="114"/>
      <c r="F73" s="115"/>
      <c r="H73" s="262"/>
      <c r="I73" s="1408"/>
      <c r="J73" s="1409"/>
      <c r="K73" s="1409"/>
      <c r="L73" s="1409"/>
      <c r="M73" s="1409"/>
      <c r="N73" s="1410"/>
      <c r="O73" s="194"/>
      <c r="P73" s="194"/>
      <c r="Q73" s="194"/>
      <c r="R73" s="194"/>
    </row>
    <row r="74" spans="1:18" ht="14.25" customHeight="1" x14ac:dyDescent="0.25">
      <c r="A74" s="261"/>
      <c r="B74" s="490" t="s">
        <v>3948</v>
      </c>
      <c r="C74" s="1260" t="s">
        <v>5924</v>
      </c>
      <c r="D74" s="1260"/>
      <c r="E74" s="1260"/>
      <c r="F74" s="1261"/>
      <c r="H74" s="9"/>
      <c r="I74" s="1408"/>
      <c r="J74" s="1409"/>
      <c r="K74" s="1409"/>
      <c r="L74" s="1409"/>
      <c r="M74" s="1409"/>
      <c r="N74" s="1410"/>
      <c r="O74" s="194"/>
      <c r="P74" s="194"/>
      <c r="Q74" s="194"/>
      <c r="R74" s="194"/>
    </row>
    <row r="75" spans="1:18" ht="14.25" customHeight="1" x14ac:dyDescent="0.25">
      <c r="A75" s="261"/>
      <c r="B75" s="37" t="s">
        <v>5907</v>
      </c>
      <c r="C75" s="200">
        <v>0</v>
      </c>
      <c r="D75" s="37" t="s">
        <v>5910</v>
      </c>
      <c r="E75" s="200">
        <v>0</v>
      </c>
      <c r="H75" s="9"/>
      <c r="I75" s="1408"/>
      <c r="J75" s="1409"/>
      <c r="K75" s="1409"/>
      <c r="L75" s="1409"/>
      <c r="M75" s="1409"/>
      <c r="N75" s="1410"/>
      <c r="O75" s="194"/>
      <c r="P75" s="194"/>
      <c r="Q75" s="194"/>
      <c r="R75" s="194"/>
    </row>
    <row r="76" spans="1:18" ht="14.25" customHeight="1" x14ac:dyDescent="0.25">
      <c r="A76" s="261"/>
      <c r="B76" s="37" t="s">
        <v>5016</v>
      </c>
      <c r="C76" s="200">
        <v>0</v>
      </c>
      <c r="D76" s="37" t="s">
        <v>4664</v>
      </c>
      <c r="E76" s="200">
        <v>0</v>
      </c>
      <c r="H76" s="9"/>
      <c r="I76" s="1408"/>
      <c r="J76" s="1409"/>
      <c r="K76" s="1409"/>
      <c r="L76" s="1409"/>
      <c r="M76" s="1409"/>
      <c r="N76" s="1410"/>
      <c r="O76" s="194"/>
      <c r="P76" s="194"/>
      <c r="Q76" s="194"/>
      <c r="R76" s="194"/>
    </row>
    <row r="77" spans="1:18" ht="14.25" customHeight="1" x14ac:dyDescent="0.25">
      <c r="A77" s="261"/>
      <c r="B77" s="37" t="s">
        <v>5017</v>
      </c>
      <c r="C77" s="104" t="str">
        <f>IFERROR((1-(C75/C76))*100,"")</f>
        <v/>
      </c>
      <c r="D77" s="37" t="s">
        <v>4665</v>
      </c>
      <c r="E77" s="104" t="str">
        <f>IFERROR((1-(E75/E76))*100,"")</f>
        <v/>
      </c>
      <c r="H77" s="9"/>
      <c r="I77" s="1408"/>
      <c r="J77" s="1409"/>
      <c r="K77" s="1409"/>
      <c r="L77" s="1409"/>
      <c r="M77" s="1409"/>
      <c r="N77" s="1410"/>
      <c r="O77" s="194"/>
      <c r="P77" s="194"/>
      <c r="Q77" s="194"/>
      <c r="R77" s="194"/>
    </row>
    <row r="78" spans="1:18" ht="14.25" customHeight="1" x14ac:dyDescent="0.25">
      <c r="A78" s="261"/>
      <c r="D78" s="37"/>
      <c r="H78" s="9"/>
      <c r="I78" s="1408"/>
      <c r="J78" s="1409"/>
      <c r="K78" s="1409"/>
      <c r="L78" s="1409"/>
      <c r="M78" s="1409"/>
      <c r="N78" s="1410"/>
      <c r="O78" s="194"/>
      <c r="P78" s="194"/>
      <c r="Q78" s="194"/>
      <c r="R78" s="194"/>
    </row>
    <row r="79" spans="1:18" ht="14.25" customHeight="1" x14ac:dyDescent="0.25">
      <c r="A79" s="261"/>
      <c r="B79" s="37" t="s">
        <v>5908</v>
      </c>
      <c r="C79" s="200">
        <v>0</v>
      </c>
      <c r="D79" s="37" t="s">
        <v>5911</v>
      </c>
      <c r="E79" s="200">
        <v>0</v>
      </c>
      <c r="H79" s="9"/>
      <c r="I79" s="1408"/>
      <c r="J79" s="1409"/>
      <c r="K79" s="1409"/>
      <c r="L79" s="1409"/>
      <c r="M79" s="1409"/>
      <c r="N79" s="1410"/>
      <c r="O79" s="194"/>
      <c r="P79" s="194"/>
      <c r="Q79" s="194"/>
      <c r="R79" s="194"/>
    </row>
    <row r="80" spans="1:18" ht="14.25" customHeight="1" x14ac:dyDescent="0.25">
      <c r="A80" s="261"/>
      <c r="B80" s="37" t="s">
        <v>4668</v>
      </c>
      <c r="C80" s="200">
        <v>0</v>
      </c>
      <c r="D80" s="37" t="s">
        <v>4666</v>
      </c>
      <c r="E80" s="200">
        <v>0</v>
      </c>
      <c r="H80" s="9"/>
      <c r="I80" s="1408"/>
      <c r="J80" s="1409"/>
      <c r="K80" s="1409"/>
      <c r="L80" s="1409"/>
      <c r="M80" s="1409"/>
      <c r="N80" s="1410"/>
      <c r="O80" s="194"/>
      <c r="P80" s="194"/>
      <c r="Q80" s="194"/>
      <c r="R80" s="194"/>
    </row>
    <row r="81" spans="1:18" ht="14.25" customHeight="1" x14ac:dyDescent="0.25">
      <c r="A81" s="261"/>
      <c r="B81" s="37" t="s">
        <v>4669</v>
      </c>
      <c r="C81" s="104" t="str">
        <f>IFERROR((1-(C79/C80))*100,"")</f>
        <v/>
      </c>
      <c r="D81" s="37" t="s">
        <v>4667</v>
      </c>
      <c r="E81" s="104" t="str">
        <f>IFERROR((1-(E79/E80))*100,"")</f>
        <v/>
      </c>
      <c r="H81" s="9"/>
      <c r="I81" s="1408"/>
      <c r="J81" s="1409"/>
      <c r="K81" s="1409"/>
      <c r="L81" s="1409"/>
      <c r="M81" s="1409"/>
      <c r="N81" s="1410"/>
      <c r="O81" s="194"/>
      <c r="P81" s="194"/>
      <c r="Q81" s="194"/>
      <c r="R81" s="194"/>
    </row>
    <row r="82" spans="1:18" ht="14.25" customHeight="1" x14ac:dyDescent="0.25">
      <c r="A82" s="261"/>
      <c r="D82" s="37"/>
      <c r="H82" s="9"/>
      <c r="I82" s="1408"/>
      <c r="J82" s="1409"/>
      <c r="K82" s="1409"/>
      <c r="L82" s="1409"/>
      <c r="M82" s="1409"/>
      <c r="N82" s="1410"/>
      <c r="O82" s="194"/>
      <c r="P82" s="194"/>
      <c r="Q82" s="194"/>
      <c r="R82" s="194"/>
    </row>
    <row r="83" spans="1:18" ht="14.25" customHeight="1" x14ac:dyDescent="0.25">
      <c r="A83" s="261"/>
      <c r="B83" s="37" t="s">
        <v>5909</v>
      </c>
      <c r="C83" s="200">
        <v>0</v>
      </c>
      <c r="D83" s="37"/>
      <c r="H83" s="9"/>
      <c r="I83" s="1408"/>
      <c r="J83" s="1409"/>
      <c r="K83" s="1409"/>
      <c r="L83" s="1409"/>
      <c r="M83" s="1409"/>
      <c r="N83" s="1410"/>
      <c r="O83" s="194"/>
      <c r="P83" s="194"/>
      <c r="Q83" s="194"/>
      <c r="R83" s="194"/>
    </row>
    <row r="84" spans="1:18" ht="14.25" customHeight="1" x14ac:dyDescent="0.25">
      <c r="A84" s="261"/>
      <c r="B84" s="37" t="s">
        <v>4670</v>
      </c>
      <c r="C84" s="200">
        <v>0</v>
      </c>
      <c r="D84" s="37"/>
      <c r="H84"/>
      <c r="I84" s="1408"/>
      <c r="J84" s="1409"/>
      <c r="K84" s="1409"/>
      <c r="L84" s="1409"/>
      <c r="M84" s="1409"/>
      <c r="N84" s="1410"/>
      <c r="O84" s="194"/>
      <c r="P84" s="194"/>
      <c r="Q84" s="194"/>
      <c r="R84" s="194"/>
    </row>
    <row r="85" spans="1:18" ht="14.25" customHeight="1" x14ac:dyDescent="0.25">
      <c r="A85" s="261"/>
      <c r="B85" s="37" t="s">
        <v>4671</v>
      </c>
      <c r="C85" s="104" t="str">
        <f>IFERROR((1-(C83/C84))*100,"")</f>
        <v/>
      </c>
      <c r="D85" s="37"/>
      <c r="H85" s="26"/>
      <c r="I85" s="1408"/>
      <c r="J85" s="1409"/>
      <c r="K85" s="1409"/>
      <c r="L85" s="1409"/>
      <c r="M85" s="1409"/>
      <c r="N85" s="1410"/>
      <c r="O85" s="194"/>
      <c r="P85" s="194"/>
      <c r="Q85" s="194"/>
      <c r="R85" s="194"/>
    </row>
    <row r="86" spans="1:18" ht="14.25" customHeight="1" x14ac:dyDescent="0.25">
      <c r="A86" s="261"/>
      <c r="B86" s="37" t="s">
        <v>4427</v>
      </c>
      <c r="C86"/>
      <c r="D86" s="37"/>
      <c r="H86" s="26"/>
      <c r="I86" s="1408"/>
      <c r="J86" s="1409"/>
      <c r="K86" s="1409"/>
      <c r="L86" s="1409"/>
      <c r="M86" s="1409"/>
      <c r="N86" s="1410"/>
      <c r="O86" s="194"/>
      <c r="P86" s="194"/>
      <c r="Q86" s="194"/>
      <c r="R86" s="194"/>
    </row>
    <row r="87" spans="1:18" ht="14.25" customHeight="1" x14ac:dyDescent="0.25">
      <c r="A87" s="261"/>
      <c r="B87" s="40" t="s">
        <v>5289</v>
      </c>
      <c r="C87" s="996"/>
      <c r="D87" s="37"/>
      <c r="H87" s="26"/>
      <c r="I87" s="1408"/>
      <c r="J87" s="1409"/>
      <c r="K87" s="1409"/>
      <c r="L87" s="1409"/>
      <c r="M87" s="1409"/>
      <c r="N87" s="1410"/>
      <c r="O87" s="194"/>
      <c r="P87" s="194"/>
      <c r="Q87" s="194"/>
      <c r="R87" s="194"/>
    </row>
    <row r="88" spans="1:18" ht="15" x14ac:dyDescent="0.25">
      <c r="A88" s="261"/>
      <c r="B88" s="5"/>
      <c r="C88"/>
      <c r="D88" s="26"/>
      <c r="E88" s="26"/>
      <c r="H88" s="26" t="s">
        <v>4985</v>
      </c>
      <c r="I88" s="1408"/>
      <c r="J88" s="1409"/>
      <c r="K88" s="1409"/>
      <c r="L88" s="1409"/>
      <c r="M88" s="1409"/>
      <c r="N88" s="1410"/>
      <c r="O88" s="194"/>
      <c r="P88" s="194"/>
      <c r="Q88" s="194"/>
      <c r="R88" s="194"/>
    </row>
    <row r="89" spans="1:18" ht="15" x14ac:dyDescent="0.25">
      <c r="A89" s="262"/>
      <c r="B89" s="124" t="s">
        <v>4979</v>
      </c>
      <c r="C89" s="125"/>
      <c r="D89" s="114"/>
      <c r="E89" s="114"/>
      <c r="F89" s="115"/>
      <c r="H89" s="262"/>
      <c r="I89" s="1408"/>
      <c r="J89" s="1409"/>
      <c r="K89" s="1409"/>
      <c r="L89" s="1409"/>
      <c r="M89" s="1409"/>
      <c r="N89" s="1410"/>
      <c r="O89" s="194"/>
      <c r="P89" s="194"/>
      <c r="Q89" s="194"/>
      <c r="R89" s="194"/>
    </row>
    <row r="90" spans="1:18" ht="45.75" customHeight="1" x14ac:dyDescent="0.25">
      <c r="A90" s="261"/>
      <c r="B90" s="490" t="s">
        <v>3948</v>
      </c>
      <c r="C90" s="1260" t="s">
        <v>4980</v>
      </c>
      <c r="D90" s="1260"/>
      <c r="E90" s="1260"/>
      <c r="F90" s="1261"/>
      <c r="H90" s="26"/>
      <c r="I90" s="1408"/>
      <c r="J90" s="1409"/>
      <c r="K90" s="1409"/>
      <c r="L90" s="1409"/>
      <c r="M90" s="1409"/>
      <c r="N90" s="1410"/>
      <c r="O90" s="194"/>
      <c r="P90" s="194"/>
      <c r="Q90" s="194"/>
      <c r="R90" s="194"/>
    </row>
    <row r="91" spans="1:18" ht="15" x14ac:dyDescent="0.25">
      <c r="A91" s="261"/>
      <c r="B91" s="5"/>
      <c r="H91" s="26"/>
      <c r="I91" s="1408"/>
      <c r="J91" s="1409"/>
      <c r="K91" s="1409"/>
      <c r="L91" s="1409"/>
      <c r="M91" s="1409"/>
      <c r="N91" s="1410"/>
      <c r="O91" s="194"/>
      <c r="P91" s="194"/>
      <c r="Q91" s="194"/>
      <c r="R91" s="194"/>
    </row>
    <row r="92" spans="1:18" ht="15" x14ac:dyDescent="0.25">
      <c r="A92" s="261"/>
      <c r="B92" s="5" t="s">
        <v>4981</v>
      </c>
      <c r="D92" s="37"/>
      <c r="H92" s="26"/>
      <c r="I92" s="1408"/>
      <c r="J92" s="1409"/>
      <c r="K92" s="1409"/>
      <c r="L92" s="1409"/>
      <c r="M92" s="1409"/>
      <c r="N92" s="1410"/>
      <c r="O92" s="194"/>
      <c r="P92" s="194"/>
      <c r="Q92" s="194"/>
      <c r="R92" s="194"/>
    </row>
    <row r="93" spans="1:18" ht="15" x14ac:dyDescent="0.25">
      <c r="A93" s="261"/>
      <c r="B93" s="1205"/>
      <c r="C93" s="1205"/>
      <c r="D93" s="1205"/>
      <c r="E93" s="1205"/>
      <c r="F93" s="1205"/>
      <c r="H93" s="26"/>
      <c r="I93" s="1408"/>
      <c r="J93" s="1409"/>
      <c r="K93" s="1409"/>
      <c r="L93" s="1409"/>
      <c r="M93" s="1409"/>
      <c r="N93" s="1410"/>
      <c r="O93" s="194"/>
      <c r="P93" s="194"/>
      <c r="Q93" s="194"/>
      <c r="R93" s="194"/>
    </row>
    <row r="94" spans="1:18" ht="15" x14ac:dyDescent="0.25">
      <c r="A94" s="261"/>
      <c r="B94" s="1205"/>
      <c r="C94" s="1205"/>
      <c r="D94" s="1205"/>
      <c r="E94" s="1205"/>
      <c r="F94" s="1205"/>
      <c r="H94" s="26"/>
      <c r="I94" s="1408"/>
      <c r="J94" s="1409"/>
      <c r="K94" s="1409"/>
      <c r="L94" s="1409"/>
      <c r="M94" s="1409"/>
      <c r="N94" s="1410"/>
      <c r="O94" s="194"/>
      <c r="P94" s="194"/>
      <c r="Q94" s="194"/>
      <c r="R94" s="194"/>
    </row>
    <row r="95" spans="1:18" ht="15" x14ac:dyDescent="0.25">
      <c r="A95" s="261"/>
      <c r="B95" s="1205"/>
      <c r="C95" s="1205"/>
      <c r="D95" s="1205"/>
      <c r="E95" s="1205"/>
      <c r="F95" s="1205"/>
      <c r="H95" s="26"/>
      <c r="I95" s="1408"/>
      <c r="J95" s="1409"/>
      <c r="K95" s="1409"/>
      <c r="L95" s="1409"/>
      <c r="M95" s="1409"/>
      <c r="N95" s="1410"/>
      <c r="O95" s="194"/>
      <c r="P95" s="194"/>
      <c r="Q95" s="194"/>
      <c r="R95" s="194"/>
    </row>
    <row r="96" spans="1:18" ht="15" x14ac:dyDescent="0.25">
      <c r="A96" s="261"/>
      <c r="B96" s="1205"/>
      <c r="C96" s="1205"/>
      <c r="D96" s="1205"/>
      <c r="E96" s="1205"/>
      <c r="F96" s="1205"/>
      <c r="H96" s="26"/>
      <c r="I96" s="1408"/>
      <c r="J96" s="1409"/>
      <c r="K96" s="1409"/>
      <c r="L96" s="1409"/>
      <c r="M96" s="1409"/>
      <c r="N96" s="1410"/>
      <c r="O96" s="194"/>
      <c r="P96" s="194"/>
      <c r="Q96" s="194"/>
      <c r="R96" s="194"/>
    </row>
    <row r="97" spans="1:18" ht="15" x14ac:dyDescent="0.25">
      <c r="A97" s="261"/>
      <c r="B97" s="1205"/>
      <c r="C97" s="1205"/>
      <c r="D97" s="1205"/>
      <c r="E97" s="1205"/>
      <c r="F97" s="1205"/>
      <c r="H97" s="26"/>
      <c r="I97" s="1408"/>
      <c r="J97" s="1409"/>
      <c r="K97" s="1409"/>
      <c r="L97" s="1409"/>
      <c r="M97" s="1409"/>
      <c r="N97" s="1410"/>
      <c r="O97" s="194"/>
      <c r="P97" s="194"/>
      <c r="Q97" s="194"/>
      <c r="R97" s="194"/>
    </row>
    <row r="98" spans="1:18" ht="15" x14ac:dyDescent="0.25">
      <c r="A98" s="261"/>
      <c r="B98" s="1205"/>
      <c r="C98" s="1205"/>
      <c r="D98" s="1205"/>
      <c r="E98" s="1205"/>
      <c r="F98" s="1205"/>
      <c r="H98" s="26"/>
      <c r="I98" s="1408"/>
      <c r="J98" s="1409"/>
      <c r="K98" s="1409"/>
      <c r="L98" s="1409"/>
      <c r="M98" s="1409"/>
      <c r="N98" s="1410"/>
      <c r="O98" s="194"/>
      <c r="P98" s="194"/>
      <c r="Q98" s="194"/>
      <c r="R98" s="194"/>
    </row>
    <row r="99" spans="1:18" ht="15.75" thickBot="1" x14ac:dyDescent="0.3">
      <c r="A99" s="261"/>
      <c r="B99" s="1205"/>
      <c r="C99" s="1205"/>
      <c r="D99" s="1205"/>
      <c r="E99" s="1205"/>
      <c r="F99" s="1205"/>
      <c r="H99" s="26"/>
      <c r="I99" s="1411"/>
      <c r="J99" s="1412"/>
      <c r="K99" s="1412"/>
      <c r="L99" s="1412"/>
      <c r="M99" s="1412"/>
      <c r="N99" s="1413"/>
      <c r="O99" s="194"/>
      <c r="P99" s="194"/>
      <c r="Q99" s="194"/>
      <c r="R99" s="194"/>
    </row>
    <row r="100" spans="1:18" ht="15.75" thickBot="1" x14ac:dyDescent="0.3">
      <c r="A100" s="261"/>
      <c r="B100" s="5"/>
      <c r="C100"/>
      <c r="D100" s="26"/>
      <c r="E100" s="26"/>
      <c r="H100" s="26"/>
      <c r="I100" s="100" t="str">
        <f>IF(H101&lt;&gt;F102,"Doesn't Match Self-Score","")</f>
        <v/>
      </c>
      <c r="J100" s="815"/>
      <c r="K100" s="815"/>
      <c r="L100" s="815"/>
      <c r="M100" s="815"/>
      <c r="N100" s="815"/>
      <c r="O100" s="194"/>
      <c r="P100" s="194"/>
      <c r="Q100" s="194"/>
      <c r="R100" s="194"/>
    </row>
    <row r="101" spans="1:18" ht="24.95" customHeight="1" thickBot="1" x14ac:dyDescent="0.3">
      <c r="A101" s="474" t="s">
        <v>5290</v>
      </c>
      <c r="B101" s="479"/>
      <c r="C101" s="480"/>
      <c r="D101" s="106"/>
      <c r="E101" s="106"/>
      <c r="F101" s="107"/>
      <c r="H101" s="128">
        <f>H103</f>
        <v>0</v>
      </c>
      <c r="I101" s="1350" t="s">
        <v>4987</v>
      </c>
      <c r="J101" s="1351"/>
      <c r="K101" s="1351"/>
      <c r="L101" s="1351"/>
      <c r="M101" s="1351"/>
      <c r="N101" s="1352"/>
      <c r="O101" s="194"/>
      <c r="P101" s="194"/>
      <c r="Q101" s="194"/>
      <c r="R101" s="194"/>
    </row>
    <row r="102" spans="1:18" ht="14.25" customHeight="1" x14ac:dyDescent="0.25">
      <c r="A102" s="1367" t="s">
        <v>4407</v>
      </c>
      <c r="B102" s="1368"/>
      <c r="C102" s="1368"/>
      <c r="D102" s="110"/>
      <c r="E102" s="475" t="s">
        <v>3949</v>
      </c>
      <c r="F102" s="813">
        <f>A103</f>
        <v>0</v>
      </c>
      <c r="H102" s="9" t="s">
        <v>5291</v>
      </c>
      <c r="I102" s="1414"/>
      <c r="J102" s="1415"/>
      <c r="K102" s="1415"/>
      <c r="L102" s="1415"/>
      <c r="M102" s="1415"/>
      <c r="N102" s="1416"/>
      <c r="O102" s="194"/>
      <c r="P102" s="194"/>
      <c r="Q102" s="194"/>
      <c r="R102" s="194"/>
    </row>
    <row r="103" spans="1:18" ht="14.25" customHeight="1" x14ac:dyDescent="0.25">
      <c r="A103" s="831">
        <f>C107</f>
        <v>0</v>
      </c>
      <c r="B103" s="124"/>
      <c r="C103" s="1424" t="s">
        <v>5926</v>
      </c>
      <c r="D103" s="1424"/>
      <c r="E103" s="1424"/>
      <c r="F103" s="1425"/>
      <c r="H103" s="262"/>
      <c r="I103" s="1417"/>
      <c r="J103" s="1418"/>
      <c r="K103" s="1418"/>
      <c r="L103" s="1418"/>
      <c r="M103" s="1418"/>
      <c r="N103" s="1419"/>
      <c r="O103" s="194"/>
      <c r="P103" s="194"/>
      <c r="Q103" s="194"/>
      <c r="R103" s="194"/>
    </row>
    <row r="104" spans="1:18" ht="14.25" customHeight="1" x14ac:dyDescent="0.25">
      <c r="A104" s="261"/>
      <c r="B104" s="491" t="s">
        <v>3948</v>
      </c>
      <c r="C104" s="1372"/>
      <c r="D104" s="1372"/>
      <c r="E104" s="1372"/>
      <c r="F104" s="1373"/>
      <c r="H104" s="26"/>
      <c r="I104" s="1417"/>
      <c r="J104" s="1418"/>
      <c r="K104" s="1418"/>
      <c r="L104" s="1418"/>
      <c r="M104" s="1418"/>
      <c r="N104" s="1419"/>
      <c r="O104" s="194"/>
      <c r="P104" s="194"/>
      <c r="Q104" s="194"/>
      <c r="R104" s="194"/>
    </row>
    <row r="105" spans="1:18" ht="15" x14ac:dyDescent="0.25">
      <c r="A105" s="261"/>
      <c r="B105" s="37" t="s">
        <v>5300</v>
      </c>
      <c r="C105" s="978"/>
      <c r="D105" s="26"/>
      <c r="E105" s="26"/>
      <c r="I105" s="1417"/>
      <c r="J105" s="1418"/>
      <c r="K105" s="1418"/>
      <c r="L105" s="1418"/>
      <c r="M105" s="1418"/>
      <c r="N105" s="1419"/>
      <c r="O105" s="194"/>
      <c r="P105" s="194"/>
      <c r="Q105" s="194"/>
      <c r="R105" s="194"/>
    </row>
    <row r="106" spans="1:18" ht="14.25" customHeight="1" x14ac:dyDescent="0.25">
      <c r="A106" s="261"/>
      <c r="B106" s="37" t="s">
        <v>5301</v>
      </c>
      <c r="C106" s="1026"/>
      <c r="D106" s="26"/>
      <c r="E106" s="26"/>
      <c r="I106" s="1417"/>
      <c r="J106" s="1418"/>
      <c r="K106" s="1418"/>
      <c r="L106" s="1418"/>
      <c r="M106" s="1418"/>
      <c r="N106" s="1419"/>
      <c r="O106" s="194"/>
      <c r="P106" s="194"/>
      <c r="Q106" s="194"/>
      <c r="R106" s="194"/>
    </row>
    <row r="107" spans="1:18" ht="15" customHeight="1" thickBot="1" x14ac:dyDescent="0.3">
      <c r="A107" s="261"/>
      <c r="B107" s="37" t="s">
        <v>3899</v>
      </c>
      <c r="C107" s="978"/>
      <c r="D107" s="26"/>
      <c r="E107" s="26"/>
      <c r="H107"/>
      <c r="I107" s="1420"/>
      <c r="J107" s="1421"/>
      <c r="K107" s="1421"/>
      <c r="L107" s="1421"/>
      <c r="M107" s="1421"/>
      <c r="N107" s="1422"/>
      <c r="O107" s="194"/>
      <c r="P107" s="194"/>
      <c r="Q107" s="194"/>
      <c r="R107" s="194"/>
    </row>
    <row r="108" spans="1:18" ht="15" x14ac:dyDescent="0.25">
      <c r="A108" s="261"/>
      <c r="B108" s="5"/>
      <c r="D108" s="26"/>
      <c r="E108" s="26"/>
      <c r="H108" s="26"/>
      <c r="I108" s="832"/>
      <c r="J108" s="814"/>
      <c r="K108" s="814"/>
      <c r="L108" s="814"/>
      <c r="M108" s="814"/>
      <c r="N108" s="814"/>
      <c r="O108" s="194"/>
      <c r="P108" s="194"/>
      <c r="Q108" s="194"/>
      <c r="R108" s="194"/>
    </row>
    <row r="109" spans="1:18" ht="14.25" customHeight="1" thickBot="1" x14ac:dyDescent="0.25">
      <c r="A109" s="49"/>
      <c r="B109" s="49"/>
      <c r="C109" s="49"/>
      <c r="D109" s="26"/>
      <c r="E109" s="26"/>
      <c r="H109" s="26"/>
      <c r="I109" s="100" t="e">
        <f>IF(H110&lt;&gt;F111,"Doesn't Match Self-Score","")</f>
        <v>#DIV/0!</v>
      </c>
      <c r="J109" s="815"/>
      <c r="K109" s="815"/>
      <c r="L109" s="815"/>
      <c r="M109" s="815"/>
      <c r="N109" s="815"/>
      <c r="O109" s="194"/>
      <c r="P109" s="194"/>
      <c r="Q109" s="194"/>
      <c r="R109" s="194"/>
    </row>
    <row r="110" spans="1:18" ht="24.95" customHeight="1" thickBot="1" x14ac:dyDescent="0.3">
      <c r="A110" s="474" t="s">
        <v>5292</v>
      </c>
      <c r="B110" s="479"/>
      <c r="C110" s="480"/>
      <c r="D110" s="106"/>
      <c r="E110" s="106"/>
      <c r="F110" s="107"/>
      <c r="H110" s="128">
        <f>IF(H112+H125+H120&gt;15,15,SUM(H112+H125+H120))</f>
        <v>0</v>
      </c>
      <c r="I110" s="1350" t="s">
        <v>4916</v>
      </c>
      <c r="J110" s="1351"/>
      <c r="K110" s="1351"/>
      <c r="L110" s="1351"/>
      <c r="M110" s="1351"/>
      <c r="N110" s="1352"/>
      <c r="O110" s="194"/>
      <c r="P110" s="194"/>
      <c r="Q110" s="194"/>
      <c r="R110" s="194"/>
    </row>
    <row r="111" spans="1:18" ht="14.25" customHeight="1" x14ac:dyDescent="0.25">
      <c r="A111" s="1367" t="s">
        <v>4638</v>
      </c>
      <c r="B111" s="1368"/>
      <c r="C111" s="1368"/>
      <c r="D111" s="110"/>
      <c r="E111" s="475" t="s">
        <v>3949</v>
      </c>
      <c r="F111" s="476" t="e">
        <f>IF(A112+A125+A120&gt;15,15,SUM(A112+A125+A120))</f>
        <v>#DIV/0!</v>
      </c>
      <c r="H111" s="9" t="s">
        <v>4988</v>
      </c>
      <c r="I111" s="1353"/>
      <c r="J111" s="1354"/>
      <c r="K111" s="1354"/>
      <c r="L111" s="1354"/>
      <c r="M111" s="1354"/>
      <c r="N111" s="1355"/>
      <c r="O111" s="194"/>
      <c r="P111" s="194"/>
      <c r="Q111" s="194"/>
      <c r="R111" s="194"/>
    </row>
    <row r="112" spans="1:18" ht="15" x14ac:dyDescent="0.25">
      <c r="A112" s="822" t="e">
        <f>MAX(C118,E118)</f>
        <v>#DIV/0!</v>
      </c>
      <c r="B112" s="111" t="s">
        <v>5293</v>
      </c>
      <c r="C112" s="112"/>
      <c r="D112" s="113"/>
      <c r="E112" s="114"/>
      <c r="F112" s="115"/>
      <c r="H112" s="262"/>
      <c r="I112" s="1356"/>
      <c r="J112" s="1357"/>
      <c r="K112" s="1357"/>
      <c r="L112" s="1357"/>
      <c r="M112" s="1357"/>
      <c r="N112" s="1358"/>
      <c r="O112" s="194"/>
      <c r="P112" s="194"/>
      <c r="Q112" s="194"/>
      <c r="R112" s="194"/>
    </row>
    <row r="113" spans="1:18" ht="15" x14ac:dyDescent="0.25">
      <c r="A113" s="261"/>
      <c r="B113" s="490" t="s">
        <v>3948</v>
      </c>
      <c r="C113" s="1260" t="s">
        <v>4672</v>
      </c>
      <c r="D113" s="1260"/>
      <c r="E113" s="1260"/>
      <c r="F113" s="1261"/>
      <c r="H113"/>
      <c r="I113" s="1356"/>
      <c r="J113" s="1357"/>
      <c r="K113" s="1357"/>
      <c r="L113" s="1357"/>
      <c r="M113" s="1357"/>
      <c r="N113" s="1358"/>
      <c r="O113" s="194"/>
      <c r="P113" s="194"/>
      <c r="Q113" s="194"/>
      <c r="R113" s="194"/>
    </row>
    <row r="114" spans="1:18" ht="15" x14ac:dyDescent="0.25">
      <c r="A114" s="261"/>
      <c r="B114" s="37" t="s">
        <v>3957</v>
      </c>
      <c r="C114" s="104">
        <f>'Budget &amp; Costs'!D50</f>
        <v>0</v>
      </c>
      <c r="D114" s="1400" t="s">
        <v>4674</v>
      </c>
      <c r="E114" s="1402"/>
      <c r="H114" s="26"/>
      <c r="I114" s="1356"/>
      <c r="J114" s="1357"/>
      <c r="K114" s="1357"/>
      <c r="L114" s="1357"/>
      <c r="M114" s="1357"/>
      <c r="N114" s="1358"/>
      <c r="O114" s="194"/>
      <c r="P114" s="194"/>
      <c r="Q114" s="194"/>
      <c r="R114" s="194"/>
    </row>
    <row r="115" spans="1:18" ht="15.75" customHeight="1" x14ac:dyDescent="0.25">
      <c r="A115" s="261"/>
      <c r="B115" s="1403" t="s">
        <v>4673</v>
      </c>
      <c r="C115" s="104">
        <f>'Budget &amp; Costs'!D53</f>
        <v>0</v>
      </c>
      <c r="D115" s="1401"/>
      <c r="E115" s="1402"/>
      <c r="G115" s="26"/>
      <c r="I115" s="1356"/>
      <c r="J115" s="1357"/>
      <c r="K115" s="1357"/>
      <c r="L115" s="1357"/>
      <c r="M115" s="1357"/>
      <c r="N115" s="1358"/>
      <c r="O115" s="194"/>
      <c r="P115" s="194"/>
      <c r="Q115" s="194"/>
      <c r="R115" s="194"/>
    </row>
    <row r="116" spans="1:18" ht="15.75" customHeight="1" x14ac:dyDescent="0.25">
      <c r="A116" s="261"/>
      <c r="B116" s="1404"/>
      <c r="C116" s="613"/>
      <c r="D116" s="1401"/>
      <c r="E116" s="26"/>
      <c r="G116" s="26"/>
      <c r="H116"/>
      <c r="I116" s="1356"/>
      <c r="J116" s="1357"/>
      <c r="K116" s="1357"/>
      <c r="L116" s="1357"/>
      <c r="M116" s="1357"/>
      <c r="N116" s="1358"/>
      <c r="O116" s="194"/>
      <c r="P116" s="194"/>
      <c r="Q116" s="194"/>
      <c r="R116" s="194"/>
    </row>
    <row r="117" spans="1:18" ht="15.75" customHeight="1" x14ac:dyDescent="0.25">
      <c r="A117" s="261"/>
      <c r="B117" s="37" t="s">
        <v>4989</v>
      </c>
      <c r="C117" s="630" t="e">
        <f>C115/C114</f>
        <v>#DIV/0!</v>
      </c>
      <c r="D117" s="1401"/>
      <c r="E117" s="191"/>
      <c r="G117" s="26"/>
      <c r="H117" s="9"/>
      <c r="I117" s="1356"/>
      <c r="J117" s="1357"/>
      <c r="K117" s="1357"/>
      <c r="L117" s="1357"/>
      <c r="M117" s="1357"/>
      <c r="N117" s="1358"/>
      <c r="O117" s="194"/>
      <c r="P117" s="194"/>
      <c r="Q117" s="194"/>
      <c r="R117" s="194"/>
    </row>
    <row r="118" spans="1:18" ht="15.75" customHeight="1" x14ac:dyDescent="0.25">
      <c r="A118" s="261"/>
      <c r="B118" s="37" t="s">
        <v>3899</v>
      </c>
      <c r="C118" s="104" t="e">
        <f>IF(OR(C117&gt;=0.95),15,IF(OR(C117&gt;=0.85),13,IF(OR(C117&gt;=0.75),10,IF(OR(C117&lt;=0.74),8,0))))</f>
        <v>#DIV/0!</v>
      </c>
      <c r="D118" s="147"/>
      <c r="E118" s="997"/>
      <c r="G118" s="26"/>
      <c r="H118" s="9"/>
      <c r="I118" s="1356"/>
      <c r="J118" s="1357"/>
      <c r="K118" s="1357"/>
      <c r="L118" s="1357"/>
      <c r="M118" s="1357"/>
      <c r="N118" s="1358"/>
      <c r="O118" s="194"/>
      <c r="P118" s="194"/>
      <c r="Q118" s="194"/>
      <c r="R118" s="194"/>
    </row>
    <row r="119" spans="1:18" ht="15.75" customHeight="1" x14ac:dyDescent="0.25">
      <c r="A119" s="261"/>
      <c r="B119" s="5"/>
      <c r="D119" s="26"/>
      <c r="E119" s="26"/>
      <c r="G119" s="26"/>
      <c r="H119" s="9" t="s">
        <v>5299</v>
      </c>
      <c r="I119" s="1356"/>
      <c r="J119" s="1357"/>
      <c r="K119" s="1357"/>
      <c r="L119" s="1357"/>
      <c r="M119" s="1357"/>
      <c r="N119" s="1358"/>
      <c r="O119" s="194"/>
      <c r="P119" s="194"/>
      <c r="Q119" s="194"/>
      <c r="R119" s="194"/>
    </row>
    <row r="120" spans="1:18" ht="15" x14ac:dyDescent="0.25">
      <c r="A120" s="822">
        <f>C122</f>
        <v>0</v>
      </c>
      <c r="B120" s="111" t="s">
        <v>5294</v>
      </c>
      <c r="C120" s="112"/>
      <c r="D120" s="113"/>
      <c r="E120" s="114"/>
      <c r="F120" s="115"/>
      <c r="G120" s="26"/>
      <c r="H120" s="262"/>
      <c r="I120" s="1356"/>
      <c r="J120" s="1357"/>
      <c r="K120" s="1357"/>
      <c r="L120" s="1357"/>
      <c r="M120" s="1357"/>
      <c r="N120" s="1358"/>
      <c r="O120" s="194"/>
      <c r="P120" s="194"/>
      <c r="Q120" s="194"/>
      <c r="R120" s="194"/>
    </row>
    <row r="121" spans="1:18" ht="43.5" customHeight="1" x14ac:dyDescent="0.25">
      <c r="A121" s="261"/>
      <c r="B121" s="490" t="s">
        <v>3948</v>
      </c>
      <c r="C121" s="1372" t="s">
        <v>4990</v>
      </c>
      <c r="D121" s="1372"/>
      <c r="E121" s="1372"/>
      <c r="F121" s="1373"/>
      <c r="G121" s="26"/>
      <c r="H121" s="9"/>
      <c r="I121" s="1356"/>
      <c r="J121" s="1357"/>
      <c r="K121" s="1357"/>
      <c r="L121" s="1357"/>
      <c r="M121" s="1357"/>
      <c r="N121" s="1358"/>
      <c r="O121" s="194"/>
      <c r="P121" s="194"/>
      <c r="Q121" s="194"/>
      <c r="R121" s="194"/>
    </row>
    <row r="122" spans="1:18" ht="15" x14ac:dyDescent="0.25">
      <c r="A122" s="261"/>
      <c r="B122" s="37" t="s">
        <v>4656</v>
      </c>
      <c r="C122" s="978"/>
      <c r="G122" s="26"/>
      <c r="H122" s="9"/>
      <c r="I122" s="1356"/>
      <c r="J122" s="1357"/>
      <c r="K122" s="1357"/>
      <c r="L122" s="1357"/>
      <c r="M122" s="1357"/>
      <c r="N122" s="1358"/>
      <c r="O122" s="194"/>
      <c r="P122" s="194"/>
      <c r="Q122" s="194"/>
      <c r="R122" s="194"/>
    </row>
    <row r="123" spans="1:18" ht="15.75" customHeight="1" x14ac:dyDescent="0.25">
      <c r="A123" s="261"/>
      <c r="B123" s="37" t="s">
        <v>4675</v>
      </c>
      <c r="C123" s="1000"/>
      <c r="G123" s="26"/>
      <c r="H123" s="9"/>
      <c r="I123" s="1356"/>
      <c r="J123" s="1357"/>
      <c r="K123" s="1357"/>
      <c r="L123" s="1357"/>
      <c r="M123" s="1357"/>
      <c r="N123" s="1358"/>
      <c r="O123" s="194"/>
      <c r="P123" s="194"/>
      <c r="Q123" s="194"/>
      <c r="R123" s="194"/>
    </row>
    <row r="124" spans="1:18" ht="15.75" customHeight="1" x14ac:dyDescent="0.25">
      <c r="A124" s="261"/>
      <c r="C124" s="998"/>
      <c r="G124" s="26"/>
      <c r="H124" s="9" t="s">
        <v>5298</v>
      </c>
      <c r="I124" s="1356"/>
      <c r="J124" s="1357"/>
      <c r="K124" s="1357"/>
      <c r="L124" s="1357"/>
      <c r="M124" s="1357"/>
      <c r="N124" s="1358"/>
      <c r="O124" s="194"/>
      <c r="P124" s="194"/>
      <c r="Q124" s="194"/>
      <c r="R124" s="194"/>
    </row>
    <row r="125" spans="1:18" ht="15" x14ac:dyDescent="0.25">
      <c r="A125" s="262"/>
      <c r="B125" s="111" t="s">
        <v>5295</v>
      </c>
      <c r="C125" s="112"/>
      <c r="D125" s="113"/>
      <c r="E125" s="114"/>
      <c r="F125" s="115"/>
      <c r="G125" s="26"/>
      <c r="H125" s="262"/>
      <c r="I125" s="1356"/>
      <c r="J125" s="1357"/>
      <c r="K125" s="1357"/>
      <c r="L125" s="1357"/>
      <c r="M125" s="1357"/>
      <c r="N125" s="1358"/>
      <c r="O125" s="194"/>
      <c r="P125" s="194"/>
      <c r="Q125" s="194"/>
      <c r="R125" s="194"/>
    </row>
    <row r="126" spans="1:18" ht="31.5" customHeight="1" x14ac:dyDescent="0.25">
      <c r="A126" s="261"/>
      <c r="B126" s="490" t="s">
        <v>3948</v>
      </c>
      <c r="C126" s="1260" t="s">
        <v>5912</v>
      </c>
      <c r="D126" s="1260"/>
      <c r="E126" s="1260"/>
      <c r="F126" s="1261"/>
      <c r="G126" s="26"/>
      <c r="H126" s="9"/>
      <c r="I126" s="1356"/>
      <c r="J126" s="1357"/>
      <c r="K126" s="1357"/>
      <c r="L126" s="1357"/>
      <c r="M126" s="1357"/>
      <c r="N126" s="1358"/>
      <c r="O126" s="194"/>
      <c r="P126" s="194"/>
      <c r="Q126" s="194"/>
      <c r="R126" s="194"/>
    </row>
    <row r="127" spans="1:18" x14ac:dyDescent="0.2">
      <c r="A127" s="194"/>
      <c r="B127" s="37" t="s">
        <v>5296</v>
      </c>
      <c r="C127" s="264"/>
      <c r="D127" s="26"/>
      <c r="E127" s="26"/>
      <c r="F127" s="26"/>
      <c r="G127" s="26"/>
      <c r="H127" s="9"/>
      <c r="I127" s="1356"/>
      <c r="J127" s="1357"/>
      <c r="K127" s="1357"/>
      <c r="L127" s="1357"/>
      <c r="M127" s="1357"/>
      <c r="N127" s="1358"/>
      <c r="O127" s="194"/>
      <c r="P127" s="194"/>
      <c r="Q127" s="194"/>
      <c r="R127" s="194"/>
    </row>
    <row r="128" spans="1:18" x14ac:dyDescent="0.2">
      <c r="A128" s="194"/>
      <c r="B128" s="37" t="s">
        <v>5913</v>
      </c>
      <c r="C128" s="978"/>
      <c r="D128" s="614"/>
      <c r="E128" s="26"/>
      <c r="F128" s="26"/>
      <c r="G128" s="26"/>
      <c r="H128" s="9"/>
      <c r="I128" s="1356"/>
      <c r="J128" s="1357"/>
      <c r="K128" s="1357"/>
      <c r="L128" s="1357"/>
      <c r="M128" s="1357"/>
      <c r="N128" s="1358"/>
      <c r="O128" s="194"/>
      <c r="P128" s="194"/>
      <c r="Q128" s="194"/>
      <c r="R128" s="194"/>
    </row>
    <row r="129" spans="1:18" ht="15" thickBot="1" x14ac:dyDescent="0.25">
      <c r="A129" s="194"/>
      <c r="B129" s="37" t="s">
        <v>5297</v>
      </c>
      <c r="C129" s="190"/>
      <c r="D129" s="26"/>
      <c r="E129" s="26"/>
      <c r="F129" s="26"/>
      <c r="G129" s="26"/>
      <c r="H129" s="9"/>
      <c r="I129" s="1359"/>
      <c r="J129" s="1360"/>
      <c r="K129" s="1360"/>
      <c r="L129" s="1360"/>
      <c r="M129" s="1360"/>
      <c r="N129" s="1361"/>
      <c r="O129" s="194"/>
      <c r="P129" s="194"/>
      <c r="Q129" s="194"/>
      <c r="R129" s="194"/>
    </row>
    <row r="130" spans="1:18" ht="15.75" thickBot="1" x14ac:dyDescent="0.3">
      <c r="A130" s="261"/>
      <c r="B130" s="5"/>
      <c r="D130" s="26"/>
      <c r="E130" s="26"/>
      <c r="I130" s="134" t="s">
        <v>3985</v>
      </c>
      <c r="K130" s="817">
        <f>SUM(H110,H101,H39,H17)</f>
        <v>5</v>
      </c>
    </row>
    <row r="131" spans="1:18" ht="27.75" customHeight="1" thickBot="1" x14ac:dyDescent="0.3">
      <c r="A131" s="474" t="s">
        <v>3902</v>
      </c>
      <c r="B131" s="108"/>
      <c r="C131" s="109"/>
      <c r="D131" s="109"/>
      <c r="E131" s="109"/>
      <c r="F131" s="107"/>
      <c r="I131" s="1350" t="s">
        <v>3905</v>
      </c>
      <c r="J131" s="1351"/>
      <c r="K131" s="1351"/>
      <c r="L131" s="1351"/>
      <c r="M131" s="1351"/>
      <c r="N131" s="1352"/>
    </row>
    <row r="132" spans="1:18" ht="15" x14ac:dyDescent="0.25">
      <c r="A132" s="96" t="s">
        <v>3958</v>
      </c>
      <c r="B132" s="5"/>
      <c r="C132" s="839" t="e">
        <f>SUM(F18,F40,F102,F111)</f>
        <v>#DIV/0!</v>
      </c>
      <c r="H132" s="985"/>
      <c r="I132" s="1353"/>
      <c r="J132" s="1354"/>
      <c r="K132" s="1354"/>
      <c r="L132" s="1354"/>
      <c r="M132" s="1354"/>
      <c r="N132" s="1355"/>
    </row>
    <row r="133" spans="1:18" ht="15" x14ac:dyDescent="0.25">
      <c r="A133" s="96"/>
      <c r="B133" s="615" t="s">
        <v>4676</v>
      </c>
      <c r="C133" s="840" t="e">
        <f>IF(C132&lt;27.999,"Not eligible","Eligible")</f>
        <v>#DIV/0!</v>
      </c>
      <c r="H133" s="987"/>
      <c r="I133" s="1356"/>
      <c r="J133" s="1357"/>
      <c r="K133" s="1357"/>
      <c r="L133" s="1357"/>
      <c r="M133" s="1357"/>
      <c r="N133" s="1358"/>
    </row>
    <row r="134" spans="1:18" ht="15" x14ac:dyDescent="0.25">
      <c r="A134" s="96"/>
      <c r="B134" s="5"/>
      <c r="I134" s="1356"/>
      <c r="J134" s="1357"/>
      <c r="K134" s="1357"/>
      <c r="L134" s="1357"/>
      <c r="M134" s="1357"/>
      <c r="N134" s="1358"/>
    </row>
    <row r="135" spans="1:18" ht="15" x14ac:dyDescent="0.25">
      <c r="A135" s="96" t="s">
        <v>5277</v>
      </c>
      <c r="C135" s="11" t="s">
        <v>3125</v>
      </c>
      <c r="D135" s="11" t="s">
        <v>5278</v>
      </c>
      <c r="E135" s="988"/>
      <c r="I135" s="1356"/>
      <c r="J135" s="1357"/>
      <c r="K135" s="1357"/>
      <c r="L135" s="1357"/>
      <c r="M135" s="1357"/>
      <c r="N135" s="1358"/>
    </row>
    <row r="136" spans="1:18" ht="15" thickBot="1" x14ac:dyDescent="0.25">
      <c r="C136" s="1022">
        <f>'Project Details'!G11</f>
        <v>0</v>
      </c>
      <c r="D136" s="1023"/>
      <c r="E136" s="989"/>
      <c r="I136" s="1359"/>
      <c r="J136" s="1360"/>
      <c r="K136" s="1360"/>
      <c r="L136" s="1360"/>
      <c r="M136" s="1360"/>
      <c r="N136" s="1361"/>
    </row>
    <row r="137" spans="1:18" ht="15" thickBot="1" x14ac:dyDescent="0.25">
      <c r="H137" s="985"/>
    </row>
    <row r="138" spans="1:18" ht="15.75" thickBot="1" x14ac:dyDescent="0.3">
      <c r="A138" s="96" t="s">
        <v>5302</v>
      </c>
      <c r="C138" s="105" t="e">
        <f>C117</f>
        <v>#DIV/0!</v>
      </c>
      <c r="D138" s="97"/>
      <c r="H138" s="987"/>
      <c r="I138" s="1350" t="s">
        <v>3906</v>
      </c>
      <c r="J138" s="1351"/>
      <c r="K138" s="1351"/>
      <c r="L138" s="1351"/>
      <c r="M138" s="1351"/>
      <c r="N138" s="1352"/>
    </row>
    <row r="139" spans="1:18" ht="15.75" thickBot="1" x14ac:dyDescent="0.3">
      <c r="A139" s="96"/>
      <c r="B139" s="5"/>
      <c r="D139" s="97"/>
      <c r="I139" s="1395"/>
      <c r="J139" s="1396"/>
      <c r="K139" s="1396"/>
      <c r="L139" s="1396"/>
      <c r="M139" s="1396"/>
      <c r="N139" s="1397"/>
    </row>
  </sheetData>
  <sheetProtection algorithmName="SHA-512" hashValue="Mb5NJ/ib7bj/QTrUiG3kmBapXfzquW3tAE/VSfCBfA0cZ5oIVpzYdf7wfx4UR3IQw/kz01q3Cs10SBqLkJbZKg==" saltValue="u+/7pKgtUY8u25m+s0AGZQ==" spinCount="100000" sheet="1" objects="1" scenarios="1"/>
  <mergeCells count="44">
    <mergeCell ref="A4:F4"/>
    <mergeCell ref="C5:D5"/>
    <mergeCell ref="C8:D8"/>
    <mergeCell ref="B11:F11"/>
    <mergeCell ref="D12:F12"/>
    <mergeCell ref="I17:N17"/>
    <mergeCell ref="A18:C18"/>
    <mergeCell ref="C32:F32"/>
    <mergeCell ref="C34:F34"/>
    <mergeCell ref="C36:F36"/>
    <mergeCell ref="I18:N37"/>
    <mergeCell ref="C20:F20"/>
    <mergeCell ref="I131:N131"/>
    <mergeCell ref="I132:N136"/>
    <mergeCell ref="I110:N110"/>
    <mergeCell ref="A111:C111"/>
    <mergeCell ref="I111:N129"/>
    <mergeCell ref="C113:F113"/>
    <mergeCell ref="C126:F126"/>
    <mergeCell ref="A102:C102"/>
    <mergeCell ref="I39:N39"/>
    <mergeCell ref="A40:C40"/>
    <mergeCell ref="I101:N101"/>
    <mergeCell ref="C121:F121"/>
    <mergeCell ref="E71:F71"/>
    <mergeCell ref="C90:F90"/>
    <mergeCell ref="B93:F99"/>
    <mergeCell ref="C103:F104"/>
    <mergeCell ref="I138:N138"/>
    <mergeCell ref="I139:N139"/>
    <mergeCell ref="C42:F42"/>
    <mergeCell ref="C43:F43"/>
    <mergeCell ref="D45:F45"/>
    <mergeCell ref="B48:F54"/>
    <mergeCell ref="D114:D117"/>
    <mergeCell ref="E114:E115"/>
    <mergeCell ref="B115:B116"/>
    <mergeCell ref="I40:N99"/>
    <mergeCell ref="I102:N107"/>
    <mergeCell ref="C57:F57"/>
    <mergeCell ref="B60:F66"/>
    <mergeCell ref="C74:F74"/>
    <mergeCell ref="E69:F69"/>
    <mergeCell ref="E70:F70"/>
  </mergeCells>
  <conditionalFormatting sqref="A4:F4">
    <cfRule type="expression" dxfId="17" priority="59">
      <formula>$C$5&lt;&gt;$C$9</formula>
    </cfRule>
  </conditionalFormatting>
  <conditionalFormatting sqref="A5:F10 A11:B11 A104:B104 A12:F102 A103:C103 A105:F119 A125:F134 A137:F139">
    <cfRule type="expression" dxfId="16" priority="58">
      <formula>$C$5&lt;&gt;$C$9</formula>
    </cfRule>
  </conditionalFormatting>
  <conditionalFormatting sqref="G5">
    <cfRule type="expression" dxfId="15" priority="57">
      <formula>IF(OR(F5="Low",F5="Very Low"),"Ineligible Tract","")</formula>
    </cfRule>
  </conditionalFormatting>
  <conditionalFormatting sqref="G6">
    <cfRule type="expression" dxfId="14" priority="56">
      <formula>IF(OR(AND(F5="Moderate",F6="Slight Decline"),AND(F5="Moderate",F6="Strong Decline")),"Ineliglble Tract","")</formula>
    </cfRule>
  </conditionalFormatting>
  <conditionalFormatting sqref="G7">
    <cfRule type="expression" dxfId="13" priority="55">
      <formula>IF(F7&gt;0.35,"No more than 35% of aff units may be one-bedroom and/or efficiencies""")</formula>
    </cfRule>
  </conditionalFormatting>
  <conditionalFormatting sqref="G8">
    <cfRule type="expression" dxfId="12" priority="54">
      <formula>IF(F8&lt;0.05,"5% of affordable units must be 3+ bedrooms and also be affordable to those earning 60% AMI or less","")</formula>
    </cfRule>
  </conditionalFormatting>
  <conditionalFormatting sqref="D12:D15">
    <cfRule type="expression" dxfId="11" priority="50">
      <formula>$C$12="Preserved Affordability"</formula>
    </cfRule>
  </conditionalFormatting>
  <conditionalFormatting sqref="A120:F124">
    <cfRule type="expression" dxfId="10" priority="2">
      <formula>#REF!&lt;&gt;#REF!</formula>
    </cfRule>
  </conditionalFormatting>
  <dataValidations count="8">
    <dataValidation type="list" allowBlank="1" showInputMessage="1" showErrorMessage="1" sqref="H19" xr:uid="{00000000-0002-0000-1500-000000000000}">
      <formula1>"0,2,3,4,5"</formula1>
    </dataValidation>
    <dataValidation type="list" allowBlank="1" showInputMessage="1" showErrorMessage="1" sqref="H89 A41 A56 A73 A89 H41 H56 H73" xr:uid="{00000000-0002-0000-1500-000001000000}">
      <formula1>"0,10"</formula1>
    </dataValidation>
    <dataValidation type="list" allowBlank="1" showInputMessage="1" showErrorMessage="1" sqref="H103 C122 H27 H120 C107" xr:uid="{00000000-0002-0000-1500-000002000000}">
      <formula1>"0,5"</formula1>
    </dataValidation>
    <dataValidation type="list" allowBlank="1" showInputMessage="1" showErrorMessage="1" sqref="C29" xr:uid="{00000000-0002-0000-1500-000003000000}">
      <formula1>"Onsite fitness area, Onsite health/wellness clinic, Facility partnership, None"</formula1>
    </dataValidation>
    <dataValidation type="list" allowBlank="1" showInputMessage="1" showErrorMessage="1" sqref="A11 E24 C128:C129 C105:C106" xr:uid="{00000000-0002-0000-1500-000004000000}">
      <formula1>"Yes,No"</formula1>
    </dataValidation>
    <dataValidation type="list" allowBlank="1" showInputMessage="1" showErrorMessage="1" sqref="H112" xr:uid="{00000000-0002-0000-1500-000005000000}">
      <formula1>"0,8,10,13,15"</formula1>
    </dataValidation>
    <dataValidation type="list" allowBlank="1" showInputMessage="1" showErrorMessage="1" sqref="C124" xr:uid="{00000000-0002-0000-1500-000006000000}">
      <formula1>"2020-2025,2026-2030,2031-2035,None"</formula1>
    </dataValidation>
    <dataValidation type="list" allowBlank="1" showInputMessage="1" showErrorMessage="1" sqref="A125 H125" xr:uid="{00000000-0002-0000-1500-000007000000}">
      <formula1>"0,15"</formula1>
    </dataValidation>
  </dataValidations>
  <pageMargins left="0.7" right="0.7" top="0.75" bottom="0.75" header="0.3" footer="0.3"/>
  <pageSetup scale="36" orientation="portrait" r:id="rId1"/>
  <ignoredErrors>
    <ignoredError sqref="A112 C21 C24 I100 I109 C117" evalError="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sheetPr>
  <dimension ref="A1:R118"/>
  <sheetViews>
    <sheetView showGridLines="0" zoomScale="85" zoomScaleNormal="85" workbookViewId="0">
      <selection activeCell="D50" sqref="A1:XFD1048576"/>
    </sheetView>
  </sheetViews>
  <sheetFormatPr defaultColWidth="9" defaultRowHeight="14.25" x14ac:dyDescent="0.2"/>
  <cols>
    <col min="1" max="1" width="8.625" style="5" customWidth="1"/>
    <col min="2" max="2" width="32" style="37" customWidth="1"/>
    <col min="3" max="3" width="35.625" style="5" customWidth="1"/>
    <col min="4" max="4" width="42.5" style="5" customWidth="1"/>
    <col min="5" max="5" width="20.75" style="5" customWidth="1"/>
    <col min="6" max="6" width="24.125" style="5" customWidth="1"/>
    <col min="7" max="7" width="11.875" style="5" customWidth="1"/>
    <col min="8" max="8" width="11.125" style="5" hidden="1" customWidth="1"/>
    <col min="9" max="9" width="26.25" style="5" hidden="1" customWidth="1"/>
    <col min="10" max="14" width="7.875" style="5" hidden="1" customWidth="1"/>
    <col min="15" max="15" width="7.875" style="191" customWidth="1"/>
    <col min="16" max="17" width="9" style="191" customWidth="1"/>
    <col min="18" max="16384" width="9" style="191"/>
  </cols>
  <sheetData>
    <row r="1" spans="1:14" ht="54.95" customHeight="1" x14ac:dyDescent="0.2"/>
    <row r="2" spans="1:14" s="192" customFormat="1" ht="22.5" x14ac:dyDescent="0.3">
      <c r="A2" s="3" t="s">
        <v>6</v>
      </c>
      <c r="B2" s="94"/>
      <c r="C2" s="1"/>
      <c r="D2" s="1"/>
      <c r="E2" s="1"/>
      <c r="F2" s="1"/>
      <c r="G2" s="1"/>
      <c r="H2" s="1"/>
      <c r="I2" s="1"/>
      <c r="J2" s="1"/>
      <c r="K2" s="1"/>
      <c r="L2" s="1"/>
      <c r="M2" s="1"/>
      <c r="N2" s="1"/>
    </row>
    <row r="3" spans="1:14" s="193" customFormat="1" ht="15.75" x14ac:dyDescent="0.25">
      <c r="A3" s="146" t="str">
        <f>C5</f>
        <v>Service Enriched Housing</v>
      </c>
      <c r="B3" s="95"/>
      <c r="C3" s="39"/>
      <c r="D3" s="2"/>
      <c r="E3" s="2"/>
      <c r="F3" s="2"/>
      <c r="G3" s="2"/>
      <c r="H3" s="2"/>
      <c r="I3" s="2"/>
      <c r="J3" s="2"/>
      <c r="K3" s="2"/>
      <c r="L3" s="2"/>
      <c r="M3" s="2"/>
      <c r="N3" s="2"/>
    </row>
    <row r="4" spans="1:14" x14ac:dyDescent="0.2">
      <c r="A4" s="1371" t="str">
        <f>IF(C5&lt;&gt;C9,"THIS IS THE WRONG POOL WORKBOOK -- DO NOT USE THIS WORKBOOK OR CHANGE POOL ON PROJECT DETAILS TAB","")</f>
        <v>THIS IS THE WRONG POOL WORKBOOK -- DO NOT USE THIS WORKBOOK OR CHANGE POOL ON PROJECT DETAILS TAB</v>
      </c>
      <c r="B4" s="1371"/>
      <c r="C4" s="1371"/>
      <c r="D4" s="1371"/>
      <c r="E4" s="1371"/>
      <c r="F4" s="1371"/>
    </row>
    <row r="5" spans="1:14" ht="15" x14ac:dyDescent="0.25">
      <c r="B5" s="37" t="s">
        <v>3556</v>
      </c>
      <c r="C5" s="1366" t="s">
        <v>5303</v>
      </c>
      <c r="D5" s="1366"/>
      <c r="G5" s="752"/>
      <c r="H5" s="92"/>
    </row>
    <row r="6" spans="1:14" x14ac:dyDescent="0.2">
      <c r="B6" s="37" t="s">
        <v>3903</v>
      </c>
      <c r="C6" s="836">
        <v>1250000</v>
      </c>
      <c r="G6" s="752"/>
    </row>
    <row r="7" spans="1:14" x14ac:dyDescent="0.2">
      <c r="B7" s="37" t="s">
        <v>3897</v>
      </c>
      <c r="C7" s="837">
        <f>'Housing Credits'!C43</f>
        <v>0</v>
      </c>
      <c r="D7" s="97" t="str">
        <f>IF(C7&gt;C6,"Credits Exceed Allowable Cap","")</f>
        <v/>
      </c>
      <c r="E7" s="37"/>
      <c r="G7" s="752"/>
    </row>
    <row r="8" spans="1:14" x14ac:dyDescent="0.2">
      <c r="B8" s="37" t="s">
        <v>3575</v>
      </c>
      <c r="C8" s="1379" t="str">
        <f>IF('Project Details'!C23="","[None Selected]",'Project Details'!C23)</f>
        <v>[None Selected]</v>
      </c>
      <c r="D8" s="1379"/>
      <c r="E8" s="37"/>
      <c r="G8" s="752"/>
    </row>
    <row r="9" spans="1:14" x14ac:dyDescent="0.2">
      <c r="B9" s="147"/>
      <c r="C9" s="148">
        <f>'Project Details'!C22</f>
        <v>0</v>
      </c>
      <c r="I9" s="103"/>
    </row>
    <row r="10" spans="1:14" ht="24.95" customHeight="1" x14ac:dyDescent="0.25">
      <c r="A10" s="767" t="s">
        <v>4865</v>
      </c>
      <c r="B10" s="768"/>
      <c r="C10" s="769"/>
      <c r="D10" s="769"/>
      <c r="E10" s="769"/>
      <c r="F10" s="769"/>
      <c r="I10" s="103"/>
    </row>
    <row r="11" spans="1:14" ht="16.5" customHeight="1" x14ac:dyDescent="0.25">
      <c r="A11" s="770"/>
      <c r="B11" s="1433" t="s">
        <v>5003</v>
      </c>
      <c r="C11" s="1434"/>
      <c r="D11" s="1434"/>
      <c r="E11" s="1434"/>
      <c r="F11" s="1435"/>
      <c r="I11" s="103"/>
    </row>
    <row r="12" spans="1:14" ht="15" customHeight="1" x14ac:dyDescent="0.2">
      <c r="B12" s="37" t="s">
        <v>3594</v>
      </c>
      <c r="C12" s="842">
        <f>'Project Details'!C73</f>
        <v>0</v>
      </c>
      <c r="I12" s="103"/>
    </row>
    <row r="13" spans="1:14" ht="15" customHeight="1" x14ac:dyDescent="0.2">
      <c r="B13" s="37" t="s">
        <v>3595</v>
      </c>
      <c r="C13" s="842">
        <f>'Project Details'!C74</f>
        <v>0</v>
      </c>
      <c r="I13" s="103"/>
    </row>
    <row r="14" spans="1:14" ht="15" customHeight="1" x14ac:dyDescent="0.2">
      <c r="B14" s="37" t="s">
        <v>3596</v>
      </c>
      <c r="C14" s="842">
        <f>'Project Details'!C75</f>
        <v>0</v>
      </c>
      <c r="I14" s="103"/>
    </row>
    <row r="15" spans="1:14" ht="29.25" customHeight="1" x14ac:dyDescent="0.25">
      <c r="A15" s="770"/>
      <c r="B15" s="1433" t="s">
        <v>5000</v>
      </c>
      <c r="C15" s="1434"/>
      <c r="D15" s="1434"/>
      <c r="E15" s="1434"/>
      <c r="F15" s="1435"/>
      <c r="I15" s="103"/>
    </row>
    <row r="16" spans="1:14" x14ac:dyDescent="0.2">
      <c r="B16" s="773" t="s">
        <v>5002</v>
      </c>
      <c r="C16" s="842">
        <f>'Project Details'!C77</f>
        <v>0</v>
      </c>
      <c r="D16" s="1381"/>
      <c r="E16" s="1381"/>
      <c r="F16" s="1381"/>
      <c r="I16" s="103"/>
    </row>
    <row r="17" spans="1:18" ht="30" customHeight="1" x14ac:dyDescent="0.25">
      <c r="A17" s="770"/>
      <c r="B17" s="1433" t="s">
        <v>5001</v>
      </c>
      <c r="C17" s="1377"/>
      <c r="D17" s="1377"/>
      <c r="E17" s="1377"/>
      <c r="F17" s="1378"/>
      <c r="I17" s="103"/>
    </row>
    <row r="18" spans="1:18" x14ac:dyDescent="0.2">
      <c r="A18"/>
      <c r="C18"/>
      <c r="D18" s="1432"/>
      <c r="E18" s="1432"/>
      <c r="F18" s="1432"/>
      <c r="I18" s="103"/>
    </row>
    <row r="19" spans="1:18" ht="30.75" customHeight="1" x14ac:dyDescent="0.25">
      <c r="A19" s="770"/>
      <c r="B19" s="1433" t="s">
        <v>5304</v>
      </c>
      <c r="C19" s="1377"/>
      <c r="D19" s="1377"/>
      <c r="E19" s="1377"/>
      <c r="F19" s="1378"/>
      <c r="I19" s="103"/>
    </row>
    <row r="20" spans="1:18" ht="15" thickBot="1" x14ac:dyDescent="0.25">
      <c r="C20"/>
      <c r="D20" s="1432"/>
      <c r="E20" s="1432"/>
      <c r="F20" s="1432"/>
      <c r="I20" s="103"/>
    </row>
    <row r="21" spans="1:18" ht="18.75" thickBot="1" x14ac:dyDescent="0.3">
      <c r="A21" s="474" t="s">
        <v>5316</v>
      </c>
      <c r="B21" s="486"/>
      <c r="C21" s="487"/>
      <c r="D21" s="487"/>
      <c r="E21" s="487"/>
      <c r="F21" s="488"/>
      <c r="H21" s="128">
        <f>H23</f>
        <v>0</v>
      </c>
      <c r="I21" s="1350" t="s">
        <v>4992</v>
      </c>
      <c r="J21" s="1351"/>
      <c r="K21" s="1351"/>
      <c r="L21" s="1351"/>
      <c r="M21" s="1351"/>
      <c r="N21" s="1352"/>
    </row>
    <row r="22" spans="1:18" ht="14.25" customHeight="1" x14ac:dyDescent="0.25">
      <c r="A22" s="1367" t="s">
        <v>4653</v>
      </c>
      <c r="B22" s="1368"/>
      <c r="C22" s="1368"/>
      <c r="D22" s="489"/>
      <c r="E22" s="484" t="s">
        <v>3949</v>
      </c>
      <c r="F22" s="485">
        <f>A23</f>
        <v>0</v>
      </c>
      <c r="H22" s="9" t="s">
        <v>5315</v>
      </c>
      <c r="I22" s="1353"/>
      <c r="J22" s="1354"/>
      <c r="K22" s="1354"/>
      <c r="L22" s="1354"/>
      <c r="M22" s="1354"/>
      <c r="N22" s="1355"/>
      <c r="O22" s="194"/>
      <c r="P22" s="194"/>
      <c r="Q22" s="194"/>
      <c r="R22" s="194"/>
    </row>
    <row r="23" spans="1:18" ht="14.25" customHeight="1" x14ac:dyDescent="0.25">
      <c r="A23" s="265"/>
      <c r="B23" s="120"/>
      <c r="C23" s="121"/>
      <c r="D23" s="127"/>
      <c r="E23" s="122"/>
      <c r="F23" s="123"/>
      <c r="H23" s="833"/>
      <c r="I23" s="1356"/>
      <c r="J23" s="1357"/>
      <c r="K23" s="1357"/>
      <c r="L23" s="1357"/>
      <c r="M23" s="1357"/>
      <c r="N23" s="1358"/>
      <c r="O23" s="194"/>
      <c r="P23" s="194"/>
      <c r="Q23" s="194"/>
      <c r="R23" s="194"/>
    </row>
    <row r="24" spans="1:18" ht="30.75" customHeight="1" x14ac:dyDescent="0.25">
      <c r="A24" s="261"/>
      <c r="B24" s="490" t="s">
        <v>3948</v>
      </c>
      <c r="C24" s="1372" t="s">
        <v>4635</v>
      </c>
      <c r="D24" s="1372"/>
      <c r="E24" s="1372"/>
      <c r="F24" s="1373"/>
      <c r="H24" s="26"/>
      <c r="I24" s="1356"/>
      <c r="J24" s="1357"/>
      <c r="K24" s="1357"/>
      <c r="L24" s="1357"/>
      <c r="M24" s="1357"/>
      <c r="N24" s="1358"/>
      <c r="O24" s="194"/>
      <c r="P24" s="194"/>
      <c r="Q24" s="194"/>
      <c r="R24" s="194"/>
    </row>
    <row r="25" spans="1:18" ht="15" x14ac:dyDescent="0.25">
      <c r="A25" s="261"/>
      <c r="B25" s="5"/>
      <c r="H25" s="26"/>
      <c r="I25" s="1356"/>
      <c r="J25" s="1357"/>
      <c r="K25" s="1357"/>
      <c r="L25" s="1357"/>
      <c r="M25" s="1357"/>
      <c r="N25" s="1358"/>
      <c r="O25" s="194"/>
      <c r="P25" s="194"/>
      <c r="Q25" s="194"/>
      <c r="R25" s="194"/>
    </row>
    <row r="26" spans="1:18" ht="15" x14ac:dyDescent="0.25">
      <c r="A26" s="261"/>
      <c r="B26" s="1428" t="s">
        <v>5305</v>
      </c>
      <c r="C26" s="1428"/>
      <c r="D26" s="1428"/>
      <c r="E26" s="1428"/>
      <c r="H26" s="26"/>
      <c r="I26" s="1356"/>
      <c r="J26" s="1357"/>
      <c r="K26" s="1357"/>
      <c r="L26" s="1357"/>
      <c r="M26" s="1357"/>
      <c r="N26" s="1358"/>
      <c r="O26" s="194"/>
      <c r="P26" s="194"/>
      <c r="Q26" s="194"/>
      <c r="R26" s="194"/>
    </row>
    <row r="27" spans="1:18" ht="30" x14ac:dyDescent="0.25">
      <c r="A27" s="261"/>
      <c r="B27" s="581" t="s">
        <v>3959</v>
      </c>
      <c r="C27" s="581" t="s">
        <v>3258</v>
      </c>
      <c r="D27" s="581" t="s">
        <v>3960</v>
      </c>
      <c r="E27" s="57" t="s">
        <v>3961</v>
      </c>
      <c r="H27" s="26"/>
      <c r="I27" s="1356"/>
      <c r="J27" s="1357"/>
      <c r="K27" s="1357"/>
      <c r="L27" s="1357"/>
      <c r="M27" s="1357"/>
      <c r="N27" s="1358"/>
      <c r="O27" s="194"/>
      <c r="P27" s="194"/>
      <c r="Q27" s="194"/>
      <c r="R27" s="194"/>
    </row>
    <row r="28" spans="1:18" ht="14.25" customHeight="1" x14ac:dyDescent="0.25">
      <c r="A28" s="261"/>
      <c r="B28" s="190"/>
      <c r="C28" s="10" t="s">
        <v>3962</v>
      </c>
      <c r="D28" s="171"/>
      <c r="E28" s="190"/>
      <c r="I28" s="1356"/>
      <c r="J28" s="1357"/>
      <c r="K28" s="1357"/>
      <c r="L28" s="1357"/>
      <c r="M28" s="1357"/>
      <c r="N28" s="1358"/>
      <c r="O28" s="194"/>
      <c r="P28" s="194"/>
      <c r="Q28" s="194"/>
      <c r="R28" s="194"/>
    </row>
    <row r="29" spans="1:18" ht="15" x14ac:dyDescent="0.25">
      <c r="A29" s="261"/>
      <c r="B29" s="190"/>
      <c r="C29" s="10" t="s">
        <v>3963</v>
      </c>
      <c r="D29" s="171"/>
      <c r="E29" s="190"/>
      <c r="I29" s="1356"/>
      <c r="J29" s="1357"/>
      <c r="K29" s="1357"/>
      <c r="L29" s="1357"/>
      <c r="M29" s="1357"/>
      <c r="N29" s="1358"/>
      <c r="O29" s="194"/>
      <c r="P29" s="194"/>
      <c r="Q29" s="194"/>
      <c r="R29" s="194"/>
    </row>
    <row r="30" spans="1:18" ht="15" x14ac:dyDescent="0.25">
      <c r="A30" s="261"/>
      <c r="B30" s="190"/>
      <c r="C30" s="10" t="s">
        <v>3964</v>
      </c>
      <c r="D30" s="171"/>
      <c r="E30" s="190"/>
      <c r="I30" s="1356"/>
      <c r="J30" s="1357"/>
      <c r="K30" s="1357"/>
      <c r="L30" s="1357"/>
      <c r="M30" s="1357"/>
      <c r="N30" s="1358"/>
      <c r="O30" s="194"/>
      <c r="P30" s="194"/>
      <c r="Q30" s="194"/>
      <c r="R30" s="194"/>
    </row>
    <row r="31" spans="1:18" ht="15" x14ac:dyDescent="0.25">
      <c r="A31" s="261"/>
      <c r="B31" s="190"/>
      <c r="C31" s="10" t="s">
        <v>3965</v>
      </c>
      <c r="D31" s="171"/>
      <c r="E31" s="190"/>
      <c r="I31" s="1356"/>
      <c r="J31" s="1357"/>
      <c r="K31" s="1357"/>
      <c r="L31" s="1357"/>
      <c r="M31" s="1357"/>
      <c r="N31" s="1358"/>
      <c r="O31" s="194"/>
      <c r="P31" s="194"/>
      <c r="Q31" s="194"/>
      <c r="R31" s="194"/>
    </row>
    <row r="32" spans="1:18" ht="14.25" customHeight="1" x14ac:dyDescent="0.25">
      <c r="A32" s="261"/>
      <c r="B32" s="190"/>
      <c r="C32" s="10" t="s">
        <v>3966</v>
      </c>
      <c r="D32" s="171"/>
      <c r="E32" s="190"/>
      <c r="I32" s="1356"/>
      <c r="J32" s="1357"/>
      <c r="K32" s="1357"/>
      <c r="L32" s="1357"/>
      <c r="M32" s="1357"/>
      <c r="N32" s="1358"/>
      <c r="O32" s="194"/>
      <c r="P32" s="194"/>
      <c r="Q32" s="194"/>
      <c r="R32" s="194"/>
    </row>
    <row r="33" spans="1:18" ht="14.25" customHeight="1" x14ac:dyDescent="0.25">
      <c r="A33" s="261"/>
      <c r="B33" s="190"/>
      <c r="C33" s="10" t="s">
        <v>3967</v>
      </c>
      <c r="D33" s="171"/>
      <c r="E33" s="190"/>
      <c r="I33" s="1356"/>
      <c r="J33" s="1357"/>
      <c r="K33" s="1357"/>
      <c r="L33" s="1357"/>
      <c r="M33" s="1357"/>
      <c r="N33" s="1358"/>
      <c r="O33" s="194"/>
      <c r="P33" s="194"/>
      <c r="Q33" s="194"/>
      <c r="R33" s="194"/>
    </row>
    <row r="34" spans="1:18" ht="15" x14ac:dyDescent="0.25">
      <c r="A34" s="261"/>
      <c r="B34" s="190"/>
      <c r="C34" s="10" t="s">
        <v>3968</v>
      </c>
      <c r="D34" s="171"/>
      <c r="E34" s="190"/>
      <c r="I34" s="1356"/>
      <c r="J34" s="1357"/>
      <c r="K34" s="1357"/>
      <c r="L34" s="1357"/>
      <c r="M34" s="1357"/>
      <c r="N34" s="1358"/>
      <c r="O34" s="194"/>
      <c r="P34" s="194"/>
      <c r="Q34" s="194"/>
      <c r="R34" s="194"/>
    </row>
    <row r="35" spans="1:18" ht="15" x14ac:dyDescent="0.25">
      <c r="A35" s="261"/>
      <c r="B35" s="190"/>
      <c r="C35" s="10" t="s">
        <v>3969</v>
      </c>
      <c r="D35" s="171"/>
      <c r="E35" s="190"/>
      <c r="I35" s="1356"/>
      <c r="J35" s="1357"/>
      <c r="K35" s="1357"/>
      <c r="L35" s="1357"/>
      <c r="M35" s="1357"/>
      <c r="N35" s="1358"/>
      <c r="O35" s="194"/>
      <c r="P35" s="194"/>
      <c r="Q35" s="194"/>
      <c r="R35" s="194"/>
    </row>
    <row r="36" spans="1:18" ht="15" x14ac:dyDescent="0.25">
      <c r="A36" s="261"/>
      <c r="B36" s="190"/>
      <c r="C36" s="10" t="s">
        <v>3970</v>
      </c>
      <c r="D36" s="171"/>
      <c r="E36" s="190"/>
      <c r="I36" s="1356"/>
      <c r="J36" s="1357"/>
      <c r="K36" s="1357"/>
      <c r="L36" s="1357"/>
      <c r="M36" s="1357"/>
      <c r="N36" s="1358"/>
      <c r="O36" s="194"/>
      <c r="P36" s="194"/>
      <c r="Q36" s="194"/>
      <c r="R36" s="194"/>
    </row>
    <row r="37" spans="1:18" ht="14.25" customHeight="1" x14ac:dyDescent="0.25">
      <c r="A37" s="261"/>
      <c r="B37" s="631">
        <f>COUNTIF(B28:B36,"Yes")</f>
        <v>0</v>
      </c>
      <c r="C37" s="1429" t="s">
        <v>3971</v>
      </c>
      <c r="D37" s="1429"/>
      <c r="E37" s="1429"/>
      <c r="I37" s="1356"/>
      <c r="J37" s="1357"/>
      <c r="K37" s="1357"/>
      <c r="L37" s="1357"/>
      <c r="M37" s="1357"/>
      <c r="N37" s="1358"/>
      <c r="O37" s="194"/>
      <c r="P37" s="194"/>
      <c r="Q37" s="194"/>
      <c r="R37" s="194"/>
    </row>
    <row r="38" spans="1:18" ht="14.25" customHeight="1" thickBot="1" x14ac:dyDescent="0.3">
      <c r="A38" s="261"/>
      <c r="B38" s="97" t="str">
        <f>IF(B37&lt;2,"Insufficient Services Offered","")</f>
        <v>Insufficient Services Offered</v>
      </c>
      <c r="D38" s="26"/>
      <c r="E38" s="26"/>
      <c r="I38" s="1359"/>
      <c r="J38" s="1360"/>
      <c r="K38" s="1360"/>
      <c r="L38" s="1360"/>
      <c r="M38" s="1360"/>
      <c r="N38" s="1361"/>
      <c r="O38" s="194"/>
      <c r="P38" s="194"/>
      <c r="Q38" s="194"/>
      <c r="R38" s="194"/>
    </row>
    <row r="39" spans="1:18" ht="14.25" customHeight="1" thickBot="1" x14ac:dyDescent="0.3">
      <c r="A39" s="261"/>
      <c r="B39" s="5"/>
      <c r="D39" s="26"/>
      <c r="E39" s="26"/>
      <c r="G39" s="26"/>
      <c r="H39" s="26"/>
      <c r="I39" s="100" t="str">
        <f>IF(H40&lt;&gt;F41,"Doesn't Match Self-Score","")</f>
        <v/>
      </c>
      <c r="J39" s="26"/>
      <c r="K39" s="26"/>
      <c r="L39" s="26"/>
      <c r="M39" s="26"/>
      <c r="N39" s="26"/>
      <c r="O39" s="194"/>
      <c r="P39" s="194"/>
      <c r="Q39" s="194"/>
      <c r="R39" s="194"/>
    </row>
    <row r="40" spans="1:18" ht="24.95" customHeight="1" thickBot="1" x14ac:dyDescent="0.3">
      <c r="A40" s="474" t="s">
        <v>5308</v>
      </c>
      <c r="B40" s="479"/>
      <c r="C40" s="480"/>
      <c r="D40" s="481"/>
      <c r="E40" s="481"/>
      <c r="F40" s="482"/>
      <c r="G40" s="26"/>
      <c r="H40" s="128">
        <f>H42</f>
        <v>0</v>
      </c>
      <c r="I40" s="1350" t="s">
        <v>3904</v>
      </c>
      <c r="J40" s="1351"/>
      <c r="K40" s="1351"/>
      <c r="L40" s="1351"/>
      <c r="M40" s="1351"/>
      <c r="N40" s="1352"/>
      <c r="O40" s="194"/>
      <c r="P40" s="194"/>
      <c r="Q40" s="194"/>
      <c r="R40" s="194"/>
    </row>
    <row r="41" spans="1:18" ht="14.25" customHeight="1" x14ac:dyDescent="0.25">
      <c r="A41" s="1367" t="s">
        <v>4638</v>
      </c>
      <c r="B41" s="1368"/>
      <c r="C41" s="1368"/>
      <c r="D41" s="483"/>
      <c r="E41" s="484" t="s">
        <v>3949</v>
      </c>
      <c r="F41" s="485">
        <f>A42</f>
        <v>0</v>
      </c>
      <c r="G41" s="26"/>
      <c r="H41" s="9" t="s">
        <v>4991</v>
      </c>
      <c r="I41" s="1353"/>
      <c r="J41" s="1354"/>
      <c r="K41" s="1354"/>
      <c r="L41" s="1354"/>
      <c r="M41" s="1354"/>
      <c r="N41" s="1355"/>
      <c r="O41" s="194"/>
      <c r="P41" s="194"/>
      <c r="Q41" s="194"/>
      <c r="R41" s="194"/>
    </row>
    <row r="42" spans="1:18" ht="14.25" customHeight="1" x14ac:dyDescent="0.25">
      <c r="A42" s="265"/>
      <c r="B42" s="111" t="s">
        <v>3892</v>
      </c>
      <c r="C42" s="112"/>
      <c r="D42" s="114"/>
      <c r="E42" s="114"/>
      <c r="F42" s="115"/>
      <c r="G42" s="26"/>
      <c r="H42" s="265"/>
      <c r="I42" s="1356"/>
      <c r="J42" s="1357"/>
      <c r="K42" s="1357"/>
      <c r="L42" s="1357"/>
      <c r="M42" s="1357"/>
      <c r="N42" s="1358"/>
      <c r="O42" s="194"/>
      <c r="P42" s="194"/>
      <c r="Q42" s="194"/>
      <c r="R42" s="194"/>
    </row>
    <row r="43" spans="1:18" ht="58.5" customHeight="1" x14ac:dyDescent="0.25">
      <c r="A43" s="261"/>
      <c r="B43" s="490" t="s">
        <v>3948</v>
      </c>
      <c r="C43" s="1372" t="s">
        <v>5306</v>
      </c>
      <c r="D43" s="1372"/>
      <c r="E43" s="1372"/>
      <c r="F43" s="1373"/>
      <c r="G43" s="26"/>
      <c r="H43" s="26"/>
      <c r="I43" s="1356"/>
      <c r="J43" s="1357"/>
      <c r="K43" s="1357"/>
      <c r="L43" s="1357"/>
      <c r="M43" s="1357"/>
      <c r="N43" s="1358"/>
      <c r="O43" s="194"/>
      <c r="P43" s="194"/>
      <c r="Q43" s="194"/>
      <c r="R43" s="194"/>
    </row>
    <row r="44" spans="1:18" ht="14.25" customHeight="1" x14ac:dyDescent="0.25">
      <c r="A44" s="261"/>
      <c r="B44" s="37" t="s">
        <v>5307</v>
      </c>
      <c r="C44" s="264"/>
      <c r="G44" s="26"/>
      <c r="H44" s="26"/>
      <c r="I44" s="1356"/>
      <c r="J44" s="1357"/>
      <c r="K44" s="1357"/>
      <c r="L44" s="1357"/>
      <c r="M44" s="1357"/>
      <c r="N44" s="1358"/>
      <c r="O44" s="194"/>
      <c r="P44" s="194"/>
      <c r="Q44" s="194"/>
      <c r="R44" s="194"/>
    </row>
    <row r="45" spans="1:18" ht="14.25" customHeight="1" thickBot="1" x14ac:dyDescent="0.3">
      <c r="A45" s="261"/>
      <c r="B45" s="37" t="s">
        <v>3972</v>
      </c>
      <c r="C45" s="171"/>
      <c r="G45" s="26"/>
      <c r="H45" s="26"/>
      <c r="I45" s="1359"/>
      <c r="J45" s="1360"/>
      <c r="K45" s="1360"/>
      <c r="L45" s="1360"/>
      <c r="M45" s="1360"/>
      <c r="N45" s="1361"/>
      <c r="O45" s="194"/>
      <c r="P45" s="194"/>
      <c r="Q45" s="194"/>
      <c r="R45" s="194"/>
    </row>
    <row r="46" spans="1:18" ht="14.25" customHeight="1" thickBot="1" x14ac:dyDescent="0.3">
      <c r="A46" s="261"/>
      <c r="B46" s="26"/>
      <c r="C46" s="26"/>
      <c r="D46" s="26"/>
      <c r="E46" s="26"/>
      <c r="G46" s="26"/>
      <c r="H46" s="26"/>
      <c r="I46" s="100" t="str">
        <f>IF(H47&lt;&gt;F48,"Doesn't Match Self-Score","")</f>
        <v/>
      </c>
      <c r="J46" s="93"/>
      <c r="K46" s="93"/>
      <c r="L46" s="93"/>
      <c r="M46" s="93"/>
      <c r="N46" s="814"/>
      <c r="O46" s="194"/>
      <c r="P46" s="194"/>
      <c r="Q46" s="194"/>
      <c r="R46" s="194"/>
    </row>
    <row r="47" spans="1:18" ht="24.95" customHeight="1" thickBot="1" x14ac:dyDescent="0.3">
      <c r="A47" s="474" t="s">
        <v>5309</v>
      </c>
      <c r="B47" s="479"/>
      <c r="C47" s="480"/>
      <c r="D47" s="106"/>
      <c r="E47" s="106"/>
      <c r="F47" s="107"/>
      <c r="H47" s="128">
        <f>H49</f>
        <v>0</v>
      </c>
      <c r="I47" s="1350" t="s">
        <v>4993</v>
      </c>
      <c r="J47" s="1351"/>
      <c r="K47" s="1351"/>
      <c r="L47" s="1351"/>
      <c r="M47" s="1351"/>
      <c r="N47" s="1352"/>
      <c r="O47" s="194"/>
      <c r="P47" s="194"/>
      <c r="Q47" s="194"/>
      <c r="R47" s="194"/>
    </row>
    <row r="48" spans="1:18" ht="14.25" customHeight="1" x14ac:dyDescent="0.25">
      <c r="A48" s="1367" t="s">
        <v>4653</v>
      </c>
      <c r="B48" s="1368"/>
      <c r="C48" s="1368"/>
      <c r="D48" s="110"/>
      <c r="E48" s="475" t="s">
        <v>3949</v>
      </c>
      <c r="F48" s="476">
        <f>A49</f>
        <v>0</v>
      </c>
      <c r="H48" s="9" t="s">
        <v>4994</v>
      </c>
      <c r="I48" s="1340"/>
      <c r="J48" s="1341"/>
      <c r="K48" s="1341"/>
      <c r="L48" s="1341"/>
      <c r="M48" s="1341"/>
      <c r="N48" s="1342"/>
      <c r="O48" s="194"/>
      <c r="P48" s="194"/>
      <c r="Q48" s="194"/>
      <c r="R48" s="194"/>
    </row>
    <row r="49" spans="1:18" ht="14.25" customHeight="1" x14ac:dyDescent="0.25">
      <c r="A49" s="1027"/>
      <c r="B49" s="124" t="s">
        <v>4677</v>
      </c>
      <c r="C49" s="125"/>
      <c r="D49" s="114"/>
      <c r="E49" s="114"/>
      <c r="F49" s="115"/>
      <c r="H49" s="262"/>
      <c r="I49" s="1343"/>
      <c r="J49" s="1344"/>
      <c r="K49" s="1344"/>
      <c r="L49" s="1344"/>
      <c r="M49" s="1344"/>
      <c r="N49" s="1345"/>
      <c r="O49" s="194"/>
      <c r="P49" s="194"/>
      <c r="Q49" s="194"/>
      <c r="R49" s="194"/>
    </row>
    <row r="50" spans="1:18" ht="14.25" customHeight="1" x14ac:dyDescent="0.25">
      <c r="A50" s="261"/>
      <c r="B50" s="490" t="s">
        <v>3948</v>
      </c>
      <c r="C50" s="1430" t="s">
        <v>4678</v>
      </c>
      <c r="D50" s="1430"/>
      <c r="E50" s="1430"/>
      <c r="F50" s="1431"/>
      <c r="H50" s="26"/>
      <c r="I50" s="1343"/>
      <c r="J50" s="1344"/>
      <c r="K50" s="1344"/>
      <c r="L50" s="1344"/>
      <c r="M50" s="1344"/>
      <c r="N50" s="1345"/>
      <c r="O50" s="194"/>
      <c r="P50" s="194"/>
      <c r="Q50" s="194"/>
      <c r="R50" s="194"/>
    </row>
    <row r="51" spans="1:18" ht="14.25" customHeight="1" x14ac:dyDescent="0.25">
      <c r="A51" s="261"/>
      <c r="B51" s="37" t="s">
        <v>3973</v>
      </c>
      <c r="C51" s="263"/>
      <c r="D51" s="191"/>
      <c r="E51" s="26"/>
      <c r="H51" s="26"/>
      <c r="I51" s="1343"/>
      <c r="J51" s="1344"/>
      <c r="K51" s="1344"/>
      <c r="L51" s="1344"/>
      <c r="M51" s="1344"/>
      <c r="N51" s="1345"/>
      <c r="O51" s="194"/>
      <c r="P51" s="194"/>
      <c r="Q51" s="194"/>
      <c r="R51" s="194"/>
    </row>
    <row r="52" spans="1:18" ht="14.25" customHeight="1" x14ac:dyDescent="0.25">
      <c r="A52" s="261"/>
      <c r="B52" s="37" t="s">
        <v>3974</v>
      </c>
      <c r="C52" s="190"/>
      <c r="D52" s="834"/>
      <c r="E52" s="21"/>
      <c r="F52" s="835"/>
      <c r="H52" s="26"/>
      <c r="I52" s="1343"/>
      <c r="J52" s="1344"/>
      <c r="K52" s="1344"/>
      <c r="L52" s="1344"/>
      <c r="M52" s="1344"/>
      <c r="N52" s="1345"/>
      <c r="O52" s="194"/>
      <c r="P52" s="194"/>
      <c r="Q52" s="194"/>
      <c r="R52" s="194"/>
    </row>
    <row r="53" spans="1:18" ht="14.25" customHeight="1" thickBot="1" x14ac:dyDescent="0.3">
      <c r="A53" s="261"/>
      <c r="B53" s="37" t="s">
        <v>5310</v>
      </c>
      <c r="C53" s="999" t="s">
        <v>5311</v>
      </c>
      <c r="D53" s="835"/>
      <c r="E53" s="21"/>
      <c r="F53" s="835"/>
      <c r="H53" s="26"/>
      <c r="I53" s="1346"/>
      <c r="J53" s="1347"/>
      <c r="K53" s="1347"/>
      <c r="L53" s="1347"/>
      <c r="M53" s="1347"/>
      <c r="N53" s="1348"/>
      <c r="O53" s="194"/>
      <c r="P53" s="194"/>
      <c r="Q53" s="194"/>
      <c r="R53" s="194"/>
    </row>
    <row r="54" spans="1:18" ht="14.25" customHeight="1" thickBot="1" x14ac:dyDescent="0.3">
      <c r="A54" s="261"/>
      <c r="B54" s="5"/>
      <c r="C54" s="26"/>
      <c r="D54" s="26"/>
      <c r="E54" s="26"/>
      <c r="H54" s="26"/>
      <c r="I54" s="100" t="str">
        <f>IF(H55&lt;&gt;F56,"Doesn't Match Self-Score","")</f>
        <v/>
      </c>
      <c r="J54" s="93"/>
      <c r="K54" s="93"/>
      <c r="L54" s="93"/>
      <c r="M54" s="93"/>
      <c r="N54" s="93"/>
      <c r="O54" s="194"/>
      <c r="P54" s="194"/>
      <c r="Q54" s="194"/>
      <c r="R54" s="194"/>
    </row>
    <row r="55" spans="1:18" ht="24.95" customHeight="1" thickBot="1" x14ac:dyDescent="0.3">
      <c r="A55" s="474" t="s">
        <v>5312</v>
      </c>
      <c r="B55" s="479"/>
      <c r="C55" s="480"/>
      <c r="D55" s="106"/>
      <c r="E55" s="477"/>
      <c r="F55" s="478"/>
      <c r="H55" s="128">
        <f>(H57+H69)</f>
        <v>0</v>
      </c>
      <c r="I55" s="1350" t="s">
        <v>4995</v>
      </c>
      <c r="J55" s="1351"/>
      <c r="K55" s="1351"/>
      <c r="L55" s="1351"/>
      <c r="M55" s="1351"/>
      <c r="N55" s="1352"/>
      <c r="O55" s="194"/>
      <c r="P55" s="194"/>
      <c r="Q55" s="194"/>
      <c r="R55" s="194"/>
    </row>
    <row r="56" spans="1:18" ht="14.25" customHeight="1" x14ac:dyDescent="0.25">
      <c r="A56" s="1367" t="s">
        <v>4653</v>
      </c>
      <c r="B56" s="1368"/>
      <c r="C56" s="1368"/>
      <c r="D56" s="110"/>
      <c r="E56" s="475" t="s">
        <v>3949</v>
      </c>
      <c r="F56" s="476">
        <f>(A57+A69)</f>
        <v>0</v>
      </c>
      <c r="H56" s="9" t="s">
        <v>4972</v>
      </c>
      <c r="I56" s="1353"/>
      <c r="J56" s="1354"/>
      <c r="K56" s="1354"/>
      <c r="L56" s="1354"/>
      <c r="M56" s="1354"/>
      <c r="N56" s="1355"/>
      <c r="O56" s="194"/>
      <c r="P56" s="194"/>
      <c r="Q56" s="194"/>
      <c r="R56" s="194"/>
    </row>
    <row r="57" spans="1:18" ht="14.25" customHeight="1" x14ac:dyDescent="0.25">
      <c r="A57" s="822">
        <f>MAX(C66,C64,C62)</f>
        <v>0</v>
      </c>
      <c r="B57" s="753" t="s">
        <v>5313</v>
      </c>
      <c r="C57" s="112"/>
      <c r="D57" s="113"/>
      <c r="E57" s="114"/>
      <c r="F57" s="115"/>
      <c r="H57" s="262"/>
      <c r="I57" s="1356"/>
      <c r="J57" s="1357"/>
      <c r="K57" s="1357"/>
      <c r="L57" s="1357"/>
      <c r="M57" s="1357"/>
      <c r="N57" s="1358"/>
      <c r="O57" s="194"/>
      <c r="P57" s="194"/>
      <c r="Q57" s="194"/>
      <c r="R57" s="194"/>
    </row>
    <row r="58" spans="1:18" ht="30" customHeight="1" x14ac:dyDescent="0.25">
      <c r="A58" s="261"/>
      <c r="B58" s="602" t="s">
        <v>3948</v>
      </c>
      <c r="C58" s="1392" t="s">
        <v>4971</v>
      </c>
      <c r="D58" s="1392"/>
      <c r="E58" s="1392"/>
      <c r="F58" s="1393"/>
      <c r="H58" s="26"/>
      <c r="I58" s="1356"/>
      <c r="J58" s="1357"/>
      <c r="K58" s="1357"/>
      <c r="L58" s="1357"/>
      <c r="M58" s="1357"/>
      <c r="N58" s="1358"/>
      <c r="O58" s="194"/>
      <c r="P58" s="194"/>
      <c r="Q58" s="194"/>
      <c r="R58" s="194"/>
    </row>
    <row r="59" spans="1:18" ht="29.25" customHeight="1" x14ac:dyDescent="0.25">
      <c r="A59" s="261"/>
      <c r="B59" s="602"/>
      <c r="C59" s="1392" t="s">
        <v>4632</v>
      </c>
      <c r="D59" s="1392"/>
      <c r="E59" s="1392"/>
      <c r="F59" s="1393"/>
      <c r="H59" s="26"/>
      <c r="I59" s="1356"/>
      <c r="J59" s="1357"/>
      <c r="K59" s="1357"/>
      <c r="L59" s="1357"/>
      <c r="M59" s="1357"/>
      <c r="N59" s="1358"/>
      <c r="O59" s="194"/>
      <c r="P59" s="194"/>
      <c r="Q59" s="194"/>
      <c r="R59" s="194"/>
    </row>
    <row r="60" spans="1:18" ht="30" customHeight="1" x14ac:dyDescent="0.25">
      <c r="A60" s="261"/>
      <c r="B60" s="490"/>
      <c r="C60" s="1260" t="s">
        <v>4633</v>
      </c>
      <c r="D60" s="1260"/>
      <c r="E60" s="1260"/>
      <c r="F60" s="1261"/>
      <c r="H60" s="26"/>
      <c r="I60" s="1356"/>
      <c r="J60" s="1357"/>
      <c r="K60" s="1357"/>
      <c r="L60" s="1357"/>
      <c r="M60" s="1357"/>
      <c r="N60" s="1358"/>
      <c r="O60" s="194"/>
      <c r="P60" s="194"/>
      <c r="Q60" s="194"/>
      <c r="R60" s="194"/>
    </row>
    <row r="61" spans="1:18" ht="14.25" customHeight="1" x14ac:dyDescent="0.25">
      <c r="A61" s="261"/>
      <c r="B61" s="53" t="s">
        <v>4629</v>
      </c>
      <c r="C61" s="1003"/>
      <c r="D61" s="103"/>
      <c r="E61" s="500" t="s">
        <v>5174</v>
      </c>
      <c r="F61" s="684">
        <f>'Project Details'!C14</f>
        <v>0</v>
      </c>
      <c r="H61" s="9"/>
      <c r="I61" s="1356"/>
      <c r="J61" s="1357"/>
      <c r="K61" s="1357"/>
      <c r="L61" s="1357"/>
      <c r="M61" s="1357"/>
      <c r="N61" s="1358"/>
      <c r="O61" s="194"/>
      <c r="P61" s="194"/>
      <c r="Q61" s="194"/>
      <c r="R61" s="194"/>
    </row>
    <row r="62" spans="1:18" ht="14.25" customHeight="1" x14ac:dyDescent="0.25">
      <c r="A62" s="261"/>
      <c r="B62" s="53" t="s">
        <v>4656</v>
      </c>
      <c r="C62" s="1017"/>
      <c r="D62" s="103"/>
      <c r="E62" s="26"/>
      <c r="I62" s="1356"/>
      <c r="J62" s="1357"/>
      <c r="K62" s="1357"/>
      <c r="L62" s="1357"/>
      <c r="M62" s="1357"/>
      <c r="N62" s="1358"/>
      <c r="O62" s="194"/>
      <c r="P62" s="194"/>
      <c r="Q62" s="194"/>
      <c r="R62" s="194"/>
    </row>
    <row r="63" spans="1:18" ht="14.25" customHeight="1" x14ac:dyDescent="0.25">
      <c r="A63" s="261"/>
      <c r="B63" s="53" t="s">
        <v>4630</v>
      </c>
      <c r="C63" s="1002"/>
      <c r="D63" s="103"/>
      <c r="E63" s="26"/>
      <c r="H63" s="26"/>
      <c r="I63" s="1356"/>
      <c r="J63" s="1357"/>
      <c r="K63" s="1357"/>
      <c r="L63" s="1357"/>
      <c r="M63" s="1357"/>
      <c r="N63" s="1358"/>
      <c r="O63" s="194"/>
      <c r="P63" s="194"/>
      <c r="Q63" s="194"/>
      <c r="R63" s="194"/>
    </row>
    <row r="64" spans="1:18" ht="14.25" customHeight="1" x14ac:dyDescent="0.25">
      <c r="A64" s="261"/>
      <c r="B64" s="53" t="s">
        <v>4656</v>
      </c>
      <c r="C64" s="1017"/>
      <c r="D64" s="103"/>
      <c r="E64" s="26"/>
      <c r="H64" s="26"/>
      <c r="I64" s="1356"/>
      <c r="J64" s="1357"/>
      <c r="K64" s="1357"/>
      <c r="L64" s="1357"/>
      <c r="M64" s="1357"/>
      <c r="N64" s="1358"/>
      <c r="O64" s="194"/>
      <c r="P64" s="194"/>
      <c r="Q64" s="194"/>
      <c r="R64" s="194"/>
    </row>
    <row r="65" spans="1:18" ht="14.25" customHeight="1" x14ac:dyDescent="0.25">
      <c r="A65" s="261"/>
      <c r="B65" s="53" t="s">
        <v>4631</v>
      </c>
      <c r="C65" s="1002"/>
      <c r="D65" s="103"/>
      <c r="E65" s="26"/>
      <c r="H65" s="26"/>
      <c r="I65" s="1356"/>
      <c r="J65" s="1357"/>
      <c r="K65" s="1357"/>
      <c r="L65" s="1357"/>
      <c r="M65" s="1357"/>
      <c r="N65" s="1358"/>
      <c r="O65" s="194"/>
      <c r="P65" s="194"/>
      <c r="Q65" s="194"/>
      <c r="R65" s="194"/>
    </row>
    <row r="66" spans="1:18" ht="14.25" customHeight="1" x14ac:dyDescent="0.25">
      <c r="A66" s="261"/>
      <c r="B66" s="53" t="s">
        <v>4656</v>
      </c>
      <c r="C66" s="1017"/>
      <c r="D66" s="103"/>
      <c r="E66" s="26"/>
      <c r="H66" s="9"/>
      <c r="I66" s="1356"/>
      <c r="J66" s="1357"/>
      <c r="K66" s="1357"/>
      <c r="L66" s="1357"/>
      <c r="M66" s="1357"/>
      <c r="N66" s="1358"/>
      <c r="O66" s="194"/>
      <c r="P66" s="194"/>
      <c r="Q66" s="194"/>
      <c r="R66" s="194"/>
    </row>
    <row r="67" spans="1:18" ht="14.25" customHeight="1" x14ac:dyDescent="0.25">
      <c r="A67" s="261"/>
      <c r="B67" s="53"/>
      <c r="H67" s="9"/>
      <c r="I67" s="1356"/>
      <c r="J67" s="1357"/>
      <c r="K67" s="1357"/>
      <c r="L67" s="1357"/>
      <c r="M67" s="1357"/>
      <c r="N67" s="1358"/>
      <c r="O67" s="194"/>
      <c r="P67" s="194"/>
      <c r="Q67" s="194"/>
      <c r="R67" s="194"/>
    </row>
    <row r="68" spans="1:18" ht="14.25" customHeight="1" x14ac:dyDescent="0.25">
      <c r="A68" s="261"/>
      <c r="B68" s="53"/>
      <c r="H68" s="9" t="s">
        <v>4918</v>
      </c>
      <c r="I68" s="1356"/>
      <c r="J68" s="1357"/>
      <c r="K68" s="1357"/>
      <c r="L68" s="1357"/>
      <c r="M68" s="1357"/>
      <c r="N68" s="1358"/>
      <c r="O68" s="194"/>
      <c r="P68" s="194"/>
      <c r="Q68" s="194"/>
      <c r="R68" s="194"/>
    </row>
    <row r="69" spans="1:18" ht="14.25" customHeight="1" x14ac:dyDescent="0.25">
      <c r="A69" s="822">
        <f>C72</f>
        <v>0</v>
      </c>
      <c r="B69" s="753" t="s">
        <v>5314</v>
      </c>
      <c r="C69" s="112"/>
      <c r="D69" s="113"/>
      <c r="E69" s="114"/>
      <c r="F69" s="115"/>
      <c r="H69" s="262"/>
      <c r="I69" s="1356"/>
      <c r="J69" s="1357"/>
      <c r="K69" s="1357"/>
      <c r="L69" s="1357"/>
      <c r="M69" s="1357"/>
      <c r="N69" s="1358"/>
      <c r="O69" s="194"/>
      <c r="P69" s="194"/>
      <c r="Q69" s="194"/>
      <c r="R69" s="194"/>
    </row>
    <row r="70" spans="1:18" ht="30.75" customHeight="1" x14ac:dyDescent="0.25">
      <c r="A70" s="261"/>
      <c r="B70" s="602" t="s">
        <v>3948</v>
      </c>
      <c r="C70" s="1390" t="s">
        <v>4965</v>
      </c>
      <c r="D70" s="1390"/>
      <c r="E70" s="1390"/>
      <c r="F70" s="1391"/>
      <c r="H70" s="9"/>
      <c r="I70" s="1356"/>
      <c r="J70" s="1357"/>
      <c r="K70" s="1357"/>
      <c r="L70" s="1357"/>
      <c r="M70" s="1357"/>
      <c r="N70" s="1358"/>
      <c r="O70" s="194"/>
      <c r="P70" s="194"/>
      <c r="Q70" s="194"/>
      <c r="R70" s="194"/>
    </row>
    <row r="71" spans="1:18" ht="29.25" customHeight="1" x14ac:dyDescent="0.25">
      <c r="A71" s="261"/>
      <c r="B71" s="490"/>
      <c r="C71" s="1372" t="s">
        <v>4966</v>
      </c>
      <c r="D71" s="1372"/>
      <c r="E71" s="1372"/>
      <c r="F71" s="1373"/>
      <c r="H71" s="9"/>
      <c r="I71" s="1356"/>
      <c r="J71" s="1357"/>
      <c r="K71" s="1357"/>
      <c r="L71" s="1357"/>
      <c r="M71" s="1357"/>
      <c r="N71" s="1358"/>
      <c r="O71" s="194"/>
      <c r="P71" s="194"/>
      <c r="Q71" s="194"/>
      <c r="R71" s="194"/>
    </row>
    <row r="72" spans="1:18" ht="14.25" customHeight="1" x14ac:dyDescent="0.2">
      <c r="A72" s="194"/>
      <c r="B72" s="37" t="s">
        <v>4656</v>
      </c>
      <c r="C72" s="263"/>
      <c r="D72" s="26"/>
      <c r="E72" s="26"/>
      <c r="F72" s="26"/>
      <c r="G72" s="26"/>
      <c r="H72" s="26"/>
      <c r="I72" s="1356"/>
      <c r="J72" s="1357"/>
      <c r="K72" s="1357"/>
      <c r="L72" s="1357"/>
      <c r="M72" s="1357"/>
      <c r="N72" s="1358"/>
      <c r="O72" s="194"/>
      <c r="P72" s="194"/>
      <c r="Q72" s="194"/>
      <c r="R72" s="194"/>
    </row>
    <row r="73" spans="1:18" ht="14.25" customHeight="1" x14ac:dyDescent="0.2">
      <c r="A73" s="194"/>
      <c r="B73" s="5"/>
      <c r="C73"/>
      <c r="D73" s="26"/>
      <c r="E73" s="26"/>
      <c r="F73" s="26"/>
      <c r="G73" s="26"/>
      <c r="H73" s="26"/>
      <c r="I73" s="1356"/>
      <c r="J73" s="1357"/>
      <c r="K73" s="1357"/>
      <c r="L73" s="1357"/>
      <c r="M73" s="1357"/>
      <c r="N73" s="1358"/>
      <c r="O73" s="194"/>
      <c r="P73" s="194"/>
      <c r="Q73" s="194"/>
      <c r="R73" s="194"/>
    </row>
    <row r="74" spans="1:18" ht="14.25" customHeight="1" x14ac:dyDescent="0.25">
      <c r="A74" s="194"/>
      <c r="B74" s="9" t="s">
        <v>4430</v>
      </c>
      <c r="C74" s="9" t="s">
        <v>4431</v>
      </c>
      <c r="D74" s="9" t="s">
        <v>3061</v>
      </c>
      <c r="E74" s="9" t="s">
        <v>4432</v>
      </c>
      <c r="F74" s="826" t="s">
        <v>4656</v>
      </c>
      <c r="G74" s="26"/>
      <c r="H74" s="26"/>
      <c r="I74" s="1356"/>
      <c r="J74" s="1357"/>
      <c r="K74" s="1357"/>
      <c r="L74" s="1357"/>
      <c r="M74" s="1357"/>
      <c r="N74" s="1358"/>
      <c r="O74" s="194"/>
      <c r="P74" s="194"/>
      <c r="Q74" s="194"/>
      <c r="R74" s="194"/>
    </row>
    <row r="75" spans="1:18" ht="14.25" customHeight="1" x14ac:dyDescent="0.2">
      <c r="A75" s="194"/>
      <c r="B75" s="825" t="s">
        <v>4433</v>
      </c>
      <c r="C75" s="503"/>
      <c r="D75" s="503"/>
      <c r="E75" s="503"/>
      <c r="F75" s="844">
        <v>3</v>
      </c>
      <c r="G75" s="26"/>
      <c r="H75" s="26"/>
      <c r="I75" s="1356"/>
      <c r="J75" s="1357"/>
      <c r="K75" s="1357"/>
      <c r="L75" s="1357"/>
      <c r="M75" s="1357"/>
      <c r="N75" s="1358"/>
      <c r="O75" s="194"/>
      <c r="P75" s="194"/>
      <c r="Q75" s="194"/>
      <c r="R75" s="194"/>
    </row>
    <row r="76" spans="1:18" ht="14.25" customHeight="1" x14ac:dyDescent="0.2">
      <c r="A76" s="194"/>
      <c r="B76" s="825" t="s">
        <v>5245</v>
      </c>
      <c r="C76" s="503"/>
      <c r="D76" s="503"/>
      <c r="E76" s="503"/>
      <c r="F76" s="844">
        <v>2</v>
      </c>
      <c r="G76" s="26"/>
      <c r="H76" s="26"/>
      <c r="I76" s="1356"/>
      <c r="J76" s="1357"/>
      <c r="K76" s="1357"/>
      <c r="L76" s="1357"/>
      <c r="M76" s="1357"/>
      <c r="N76" s="1358"/>
      <c r="O76" s="194"/>
      <c r="P76" s="194"/>
      <c r="Q76" s="194"/>
      <c r="R76" s="194"/>
    </row>
    <row r="77" spans="1:18" ht="14.25" customHeight="1" x14ac:dyDescent="0.2">
      <c r="A77" s="194"/>
      <c r="B77" s="825" t="s">
        <v>5246</v>
      </c>
      <c r="C77" s="503"/>
      <c r="D77" s="503"/>
      <c r="E77" s="503"/>
      <c r="F77" s="844">
        <v>1</v>
      </c>
      <c r="G77" s="26"/>
      <c r="H77" s="26"/>
      <c r="I77" s="1356"/>
      <c r="J77" s="1357"/>
      <c r="K77" s="1357"/>
      <c r="L77" s="1357"/>
      <c r="M77" s="1357"/>
      <c r="N77" s="1358"/>
      <c r="O77" s="194"/>
      <c r="P77" s="194"/>
      <c r="Q77" s="194"/>
      <c r="R77" s="194"/>
    </row>
    <row r="78" spans="1:18" ht="14.25" customHeight="1" x14ac:dyDescent="0.2">
      <c r="A78" s="194"/>
      <c r="B78" s="825" t="s">
        <v>4434</v>
      </c>
      <c r="C78" s="503"/>
      <c r="D78" s="503"/>
      <c r="E78" s="503"/>
      <c r="F78" s="844">
        <v>1</v>
      </c>
      <c r="G78" s="26"/>
      <c r="H78" s="26"/>
      <c r="I78" s="1356"/>
      <c r="J78" s="1357"/>
      <c r="K78" s="1357"/>
      <c r="L78" s="1357"/>
      <c r="M78" s="1357"/>
      <c r="N78" s="1358"/>
      <c r="O78" s="194"/>
      <c r="P78" s="194"/>
      <c r="Q78" s="194"/>
      <c r="R78" s="194"/>
    </row>
    <row r="79" spans="1:18" ht="14.25" customHeight="1" x14ac:dyDescent="0.2">
      <c r="A79" s="194"/>
      <c r="B79" s="825" t="s">
        <v>4435</v>
      </c>
      <c r="C79" s="503"/>
      <c r="D79" s="503"/>
      <c r="E79" s="503"/>
      <c r="F79" s="844">
        <v>1</v>
      </c>
      <c r="G79" s="26"/>
      <c r="H79" s="26"/>
      <c r="I79" s="1356"/>
      <c r="J79" s="1357"/>
      <c r="K79" s="1357"/>
      <c r="L79" s="1357"/>
      <c r="M79" s="1357"/>
      <c r="N79" s="1358"/>
      <c r="O79" s="194"/>
      <c r="P79" s="194"/>
      <c r="Q79" s="194"/>
      <c r="R79" s="194"/>
    </row>
    <row r="80" spans="1:18" ht="14.25" customHeight="1" x14ac:dyDescent="0.2">
      <c r="A80" s="194"/>
      <c r="B80" s="825" t="s">
        <v>4436</v>
      </c>
      <c r="C80" s="503"/>
      <c r="D80" s="503"/>
      <c r="E80" s="503"/>
      <c r="F80" s="844">
        <v>1</v>
      </c>
      <c r="G80" s="26"/>
      <c r="H80" s="26"/>
      <c r="I80" s="1356"/>
      <c r="J80" s="1357"/>
      <c r="K80" s="1357"/>
      <c r="L80" s="1357"/>
      <c r="M80" s="1357"/>
      <c r="N80" s="1358"/>
      <c r="O80" s="194"/>
      <c r="P80" s="194"/>
      <c r="Q80" s="194"/>
      <c r="R80" s="194"/>
    </row>
    <row r="81" spans="1:18" ht="14.25" customHeight="1" thickBot="1" x14ac:dyDescent="0.25">
      <c r="A81" s="194"/>
      <c r="B81" s="825" t="s">
        <v>5247</v>
      </c>
      <c r="C81" s="503"/>
      <c r="D81" s="503"/>
      <c r="E81" s="503"/>
      <c r="F81" s="844">
        <v>1</v>
      </c>
      <c r="G81" s="26"/>
      <c r="H81" s="26"/>
      <c r="I81" s="1359"/>
      <c r="J81" s="1360"/>
      <c r="K81" s="1360"/>
      <c r="L81" s="1360"/>
      <c r="M81" s="1360"/>
      <c r="N81" s="1361"/>
      <c r="O81" s="194"/>
      <c r="P81" s="194"/>
      <c r="Q81" s="194"/>
      <c r="R81" s="194"/>
    </row>
    <row r="82" spans="1:18" ht="14.25" customHeight="1" thickBot="1" x14ac:dyDescent="0.3">
      <c r="A82" s="261"/>
      <c r="B82" s="5"/>
      <c r="D82" s="26"/>
      <c r="E82" s="26"/>
      <c r="H82" s="26"/>
      <c r="I82" s="100" t="e">
        <f>IF(F84&lt;&gt;H83,"Doesn't Match Self-Score","")</f>
        <v>#N/A</v>
      </c>
      <c r="J82" s="815"/>
      <c r="K82" s="815"/>
      <c r="L82" s="815"/>
      <c r="M82" s="815"/>
      <c r="N82" s="815"/>
      <c r="O82" s="194"/>
      <c r="P82" s="194"/>
      <c r="Q82" s="194"/>
      <c r="R82" s="194"/>
    </row>
    <row r="83" spans="1:18" ht="24.95" customHeight="1" thickBot="1" x14ac:dyDescent="0.3">
      <c r="A83" s="474" t="s">
        <v>4679</v>
      </c>
      <c r="B83" s="479"/>
      <c r="C83" s="480"/>
      <c r="D83" s="106"/>
      <c r="E83" s="106"/>
      <c r="F83" s="107"/>
      <c r="H83" s="128">
        <f>H85</f>
        <v>0</v>
      </c>
      <c r="I83" s="1350" t="s">
        <v>4916</v>
      </c>
      <c r="J83" s="1351"/>
      <c r="K83" s="1351"/>
      <c r="L83" s="1351"/>
      <c r="M83" s="1351"/>
      <c r="N83" s="1352"/>
      <c r="O83" s="194"/>
      <c r="P83" s="194"/>
      <c r="Q83" s="194"/>
      <c r="R83" s="194"/>
    </row>
    <row r="84" spans="1:18" ht="14.25" customHeight="1" x14ac:dyDescent="0.25">
      <c r="A84" s="1367" t="s">
        <v>4407</v>
      </c>
      <c r="B84" s="1368"/>
      <c r="C84" s="1368"/>
      <c r="D84" s="110"/>
      <c r="E84" s="475" t="s">
        <v>3949</v>
      </c>
      <c r="F84" s="476" t="e">
        <f>A85</f>
        <v>#N/A</v>
      </c>
      <c r="H84" s="9" t="s">
        <v>4996</v>
      </c>
      <c r="I84" s="1353"/>
      <c r="J84" s="1354"/>
      <c r="K84" s="1354"/>
      <c r="L84" s="1354"/>
      <c r="M84" s="1354"/>
      <c r="N84" s="1355"/>
      <c r="O84" s="194"/>
      <c r="P84" s="194"/>
      <c r="Q84" s="194"/>
      <c r="R84" s="194"/>
    </row>
    <row r="85" spans="1:18" ht="15" x14ac:dyDescent="0.25">
      <c r="A85" s="822" t="e">
        <f>C88</f>
        <v>#N/A</v>
      </c>
      <c r="B85" s="753" t="s">
        <v>4997</v>
      </c>
      <c r="C85" s="112"/>
      <c r="D85" s="113"/>
      <c r="E85" s="114"/>
      <c r="F85" s="115"/>
      <c r="G85" s="26"/>
      <c r="H85" s="262"/>
      <c r="I85" s="1356"/>
      <c r="J85" s="1357"/>
      <c r="K85" s="1357"/>
      <c r="L85" s="1357"/>
      <c r="M85" s="1357"/>
      <c r="N85" s="1358"/>
      <c r="O85" s="194"/>
      <c r="P85" s="194"/>
      <c r="Q85" s="194"/>
      <c r="R85" s="194"/>
    </row>
    <row r="86" spans="1:18" ht="30" customHeight="1" x14ac:dyDescent="0.25">
      <c r="A86" s="261"/>
      <c r="B86" s="490" t="s">
        <v>3948</v>
      </c>
      <c r="C86" s="1260" t="s">
        <v>4999</v>
      </c>
      <c r="D86" s="1260"/>
      <c r="E86" s="1260"/>
      <c r="F86" s="1261"/>
      <c r="G86" s="26"/>
      <c r="H86" s="26"/>
      <c r="I86" s="1356"/>
      <c r="J86" s="1357"/>
      <c r="K86" s="1357"/>
      <c r="L86" s="1357"/>
      <c r="M86" s="1357"/>
      <c r="N86" s="1358"/>
      <c r="O86" s="194"/>
      <c r="P86" s="194"/>
      <c r="Q86" s="194"/>
      <c r="R86" s="194"/>
    </row>
    <row r="87" spans="1:18" ht="14.25" customHeight="1" x14ac:dyDescent="0.2">
      <c r="A87" s="194"/>
      <c r="B87" s="37" t="s">
        <v>4998</v>
      </c>
      <c r="C87" s="841" t="e">
        <f>VLOOKUP('Project Details'!C12,Data!$L$5:$Q$92,6,FALSE)</f>
        <v>#N/A</v>
      </c>
      <c r="D87" s="26"/>
      <c r="E87" s="26"/>
      <c r="F87" s="26"/>
      <c r="G87" s="26"/>
      <c r="H87" s="26"/>
      <c r="I87" s="1356"/>
      <c r="J87" s="1357"/>
      <c r="K87" s="1357"/>
      <c r="L87" s="1357"/>
      <c r="M87" s="1357"/>
      <c r="N87" s="1358"/>
      <c r="O87" s="194"/>
      <c r="P87" s="194"/>
      <c r="Q87" s="194"/>
      <c r="R87" s="194"/>
    </row>
    <row r="88" spans="1:18" ht="14.25" customHeight="1" x14ac:dyDescent="0.2">
      <c r="A88" s="194"/>
      <c r="B88" s="178" t="s">
        <v>4656</v>
      </c>
      <c r="C88" s="104" t="e">
        <f>IF(C87&gt;=1500,5,IF(C87&gt;=1000,4,IF(C87&gt;=500,3,IF(C87&gt;=100,2,IF(C87&gt;=50,1,0)))))</f>
        <v>#N/A</v>
      </c>
      <c r="D88" s="26"/>
      <c r="E88" s="26"/>
      <c r="F88" s="26"/>
      <c r="G88" s="26"/>
      <c r="H88" s="26"/>
      <c r="I88" s="1356"/>
      <c r="J88" s="1357"/>
      <c r="K88" s="1357"/>
      <c r="L88" s="1357"/>
      <c r="M88" s="1357"/>
      <c r="N88" s="1358"/>
      <c r="O88" s="194"/>
      <c r="P88" s="194"/>
      <c r="Q88" s="194"/>
      <c r="R88" s="194"/>
    </row>
    <row r="89" spans="1:18" ht="14.25" customHeight="1" thickBot="1" x14ac:dyDescent="0.3">
      <c r="A89" s="261"/>
      <c r="B89" s="5"/>
      <c r="E89" s="26"/>
      <c r="H89" s="26"/>
      <c r="I89" s="1359"/>
      <c r="J89" s="1360"/>
      <c r="K89" s="1360"/>
      <c r="L89" s="1360"/>
      <c r="M89" s="1360"/>
      <c r="N89" s="1361"/>
      <c r="O89" s="194"/>
      <c r="P89" s="194"/>
      <c r="Q89" s="194"/>
      <c r="R89" s="194"/>
    </row>
    <row r="90" spans="1:18" ht="15.75" thickBot="1" x14ac:dyDescent="0.3">
      <c r="A90" s="261"/>
      <c r="B90" s="5"/>
      <c r="D90" s="26"/>
      <c r="E90" s="26"/>
      <c r="I90" s="134" t="s">
        <v>3985</v>
      </c>
      <c r="K90" s="817">
        <f>SUM(H83,H55,H47,H40,H21)</f>
        <v>0</v>
      </c>
    </row>
    <row r="91" spans="1:18" ht="27.75" customHeight="1" thickBot="1" x14ac:dyDescent="0.3">
      <c r="A91" s="474" t="s">
        <v>3902</v>
      </c>
      <c r="B91" s="108"/>
      <c r="C91" s="109"/>
      <c r="D91" s="109"/>
      <c r="E91" s="109"/>
      <c r="F91" s="107"/>
      <c r="I91" s="1350" t="s">
        <v>3905</v>
      </c>
      <c r="J91" s="1351"/>
      <c r="K91" s="1351"/>
      <c r="L91" s="1351"/>
      <c r="M91" s="1351"/>
      <c r="N91" s="1352"/>
    </row>
    <row r="92" spans="1:18" ht="15" x14ac:dyDescent="0.25">
      <c r="A92" s="96" t="s">
        <v>3958</v>
      </c>
      <c r="B92" s="5"/>
      <c r="C92" s="839">
        <f>SUM(H85,H69,H57,H49,H42,H23)</f>
        <v>0</v>
      </c>
      <c r="H92" s="9"/>
      <c r="I92" s="1353"/>
      <c r="J92" s="1354"/>
      <c r="K92" s="1354"/>
      <c r="L92" s="1354"/>
      <c r="M92" s="1354"/>
      <c r="N92" s="1355"/>
    </row>
    <row r="93" spans="1:18" ht="15" x14ac:dyDescent="0.25">
      <c r="A93" s="96"/>
      <c r="B93" s="615" t="s">
        <v>4676</v>
      </c>
      <c r="C93" s="840" t="str">
        <f>IF(C92&lt;55.999,"Not eligible","Eligible")</f>
        <v>Not eligible</v>
      </c>
      <c r="H93" s="987"/>
      <c r="I93" s="1356"/>
      <c r="J93" s="1357"/>
      <c r="K93" s="1357"/>
      <c r="L93" s="1357"/>
      <c r="M93" s="1357"/>
      <c r="N93" s="1358"/>
    </row>
    <row r="94" spans="1:18" ht="15" x14ac:dyDescent="0.25">
      <c r="A94" s="96"/>
      <c r="B94" s="5"/>
      <c r="I94" s="1356"/>
      <c r="J94" s="1357"/>
      <c r="K94" s="1357"/>
      <c r="L94" s="1357"/>
      <c r="M94" s="1357"/>
      <c r="N94" s="1358"/>
    </row>
    <row r="95" spans="1:18" ht="15" x14ac:dyDescent="0.25">
      <c r="A95" s="96" t="s">
        <v>5277</v>
      </c>
      <c r="C95" s="11" t="s">
        <v>3125</v>
      </c>
      <c r="D95" s="11" t="s">
        <v>5278</v>
      </c>
      <c r="E95" s="988"/>
      <c r="I95" s="1356"/>
      <c r="J95" s="1357"/>
      <c r="K95" s="1357"/>
      <c r="L95" s="1357"/>
      <c r="M95" s="1357"/>
      <c r="N95" s="1358"/>
    </row>
    <row r="96" spans="1:18" x14ac:dyDescent="0.2">
      <c r="C96" s="990">
        <f>'Project Details'!G11</f>
        <v>0</v>
      </c>
      <c r="D96" s="991"/>
      <c r="E96" s="989"/>
      <c r="I96" s="1356"/>
      <c r="J96" s="1357"/>
      <c r="K96" s="1357"/>
      <c r="L96" s="1357"/>
      <c r="M96" s="1357"/>
      <c r="N96" s="1358"/>
    </row>
    <row r="97" spans="1:14" ht="15" x14ac:dyDescent="0.25">
      <c r="B97" s="5"/>
      <c r="D97" s="40"/>
      <c r="I97" s="1356"/>
      <c r="J97" s="1357"/>
      <c r="K97" s="1357"/>
      <c r="L97" s="1357"/>
      <c r="M97" s="1357"/>
      <c r="N97" s="1358"/>
    </row>
    <row r="98" spans="1:14" x14ac:dyDescent="0.2">
      <c r="I98" s="1356"/>
      <c r="J98" s="1357"/>
      <c r="K98" s="1357"/>
      <c r="L98" s="1357"/>
      <c r="M98" s="1357"/>
      <c r="N98" s="1358"/>
    </row>
    <row r="99" spans="1:14" ht="15" x14ac:dyDescent="0.25">
      <c r="A99" s="96" t="s">
        <v>5279</v>
      </c>
      <c r="C99" s="992"/>
      <c r="D99" s="97"/>
      <c r="I99" s="1356"/>
      <c r="J99" s="1357"/>
      <c r="K99" s="1357"/>
      <c r="L99" s="1357"/>
      <c r="M99" s="1357"/>
      <c r="N99" s="1358"/>
    </row>
    <row r="100" spans="1:14" ht="15" x14ac:dyDescent="0.25">
      <c r="A100" s="96"/>
      <c r="B100" s="5"/>
      <c r="D100" s="97"/>
      <c r="I100" s="1356"/>
      <c r="J100" s="1357"/>
      <c r="K100" s="1357"/>
      <c r="L100" s="1357"/>
      <c r="M100" s="1357"/>
      <c r="N100" s="1358"/>
    </row>
    <row r="101" spans="1:14" ht="15" x14ac:dyDescent="0.25">
      <c r="A101" s="58"/>
      <c r="B101" s="501"/>
      <c r="C101" s="333"/>
      <c r="D101" s="97"/>
      <c r="I101" s="1356"/>
      <c r="J101" s="1357"/>
      <c r="K101" s="1357"/>
      <c r="L101" s="1357"/>
      <c r="M101" s="1357"/>
      <c r="N101" s="1358"/>
    </row>
    <row r="102" spans="1:14" ht="15" x14ac:dyDescent="0.25">
      <c r="A102" s="58"/>
      <c r="B102"/>
      <c r="C102"/>
      <c r="D102" s="1004"/>
      <c r="E102"/>
      <c r="I102" s="1356"/>
      <c r="J102" s="1357"/>
      <c r="K102" s="1357"/>
      <c r="L102" s="1357"/>
      <c r="M102" s="1357"/>
      <c r="N102" s="1358"/>
    </row>
    <row r="103" spans="1:14" x14ac:dyDescent="0.2">
      <c r="A103"/>
      <c r="B103" s="501"/>
      <c r="C103" s="501"/>
      <c r="D103" s="1005"/>
      <c r="E103" s="1005"/>
      <c r="I103" s="1356"/>
      <c r="J103" s="1357"/>
      <c r="K103" s="1357"/>
      <c r="L103" s="1357"/>
      <c r="M103" s="1357"/>
      <c r="N103" s="1358"/>
    </row>
    <row r="104" spans="1:14" x14ac:dyDescent="0.2">
      <c r="A104"/>
      <c r="B104" s="501"/>
      <c r="C104" s="501"/>
      <c r="D104" s="1006"/>
      <c r="E104" s="1005"/>
      <c r="I104" s="1356"/>
      <c r="J104" s="1357"/>
      <c r="K104" s="1357"/>
      <c r="L104" s="1357"/>
      <c r="M104" s="1357"/>
      <c r="N104" s="1358"/>
    </row>
    <row r="105" spans="1:14" ht="15" x14ac:dyDescent="0.25">
      <c r="A105"/>
      <c r="B105"/>
      <c r="C105"/>
      <c r="D105" s="1007"/>
      <c r="E105" s="1008"/>
      <c r="I105" s="1356"/>
      <c r="J105" s="1357"/>
      <c r="K105" s="1357"/>
      <c r="L105" s="1357"/>
      <c r="M105" s="1357"/>
      <c r="N105" s="1358"/>
    </row>
    <row r="106" spans="1:14" ht="15.75" thickBot="1" x14ac:dyDescent="0.3">
      <c r="A106"/>
      <c r="B106"/>
      <c r="C106"/>
      <c r="D106" s="1007"/>
      <c r="E106"/>
      <c r="I106" s="1359"/>
      <c r="J106" s="1360"/>
      <c r="K106" s="1360"/>
      <c r="L106" s="1360"/>
      <c r="M106" s="1360"/>
      <c r="N106" s="1361"/>
    </row>
    <row r="107" spans="1:14" x14ac:dyDescent="0.2">
      <c r="A107"/>
      <c r="B107" s="501"/>
      <c r="C107"/>
      <c r="D107"/>
      <c r="E107"/>
      <c r="H107" s="9"/>
    </row>
    <row r="108" spans="1:14" ht="15" x14ac:dyDescent="0.25">
      <c r="A108" s="58"/>
      <c r="B108" s="501"/>
      <c r="C108"/>
      <c r="D108" s="1004"/>
      <c r="E108"/>
      <c r="H108" s="967"/>
      <c r="I108" s="1362"/>
      <c r="J108" s="1362"/>
      <c r="K108" s="1362"/>
      <c r="L108" s="1362"/>
      <c r="M108" s="1362"/>
      <c r="N108" s="1362"/>
    </row>
    <row r="109" spans="1:14" ht="15" x14ac:dyDescent="0.25">
      <c r="A109" s="58"/>
      <c r="B109"/>
      <c r="C109"/>
      <c r="D109" s="1004"/>
      <c r="E109"/>
      <c r="H109"/>
      <c r="I109" s="1349"/>
      <c r="J109" s="1349"/>
      <c r="K109" s="1349"/>
      <c r="L109" s="1349"/>
      <c r="M109" s="1349"/>
      <c r="N109" s="1349"/>
    </row>
    <row r="110" spans="1:14" ht="15" x14ac:dyDescent="0.25">
      <c r="A110" s="58"/>
      <c r="B110" s="501"/>
      <c r="C110" s="333"/>
      <c r="D110" s="1004"/>
      <c r="E110"/>
      <c r="H110"/>
      <c r="I110" s="1349"/>
      <c r="J110" s="1349"/>
      <c r="K110" s="1349"/>
      <c r="L110" s="1349"/>
      <c r="M110" s="1349"/>
      <c r="N110" s="1349"/>
    </row>
    <row r="111" spans="1:14" ht="15" x14ac:dyDescent="0.25">
      <c r="A111" s="58"/>
      <c r="B111"/>
      <c r="C111"/>
      <c r="D111" s="1004"/>
      <c r="E111"/>
      <c r="H111"/>
      <c r="I111" s="1349"/>
      <c r="J111" s="1349"/>
      <c r="K111" s="1349"/>
      <c r="L111" s="1349"/>
      <c r="M111" s="1349"/>
      <c r="N111" s="1349"/>
    </row>
    <row r="112" spans="1:14" x14ac:dyDescent="0.2">
      <c r="A112"/>
      <c r="B112" s="501"/>
      <c r="C112"/>
      <c r="D112"/>
      <c r="E112"/>
      <c r="H112"/>
      <c r="I112" s="1349"/>
      <c r="J112" s="1349"/>
      <c r="K112" s="1349"/>
      <c r="L112" s="1349"/>
      <c r="M112" s="1349"/>
      <c r="N112" s="1349"/>
    </row>
    <row r="113" spans="1:14" x14ac:dyDescent="0.2">
      <c r="A113"/>
      <c r="B113" s="501"/>
      <c r="C113"/>
      <c r="D113"/>
      <c r="E113"/>
      <c r="H113" s="985"/>
      <c r="I113"/>
      <c r="J113"/>
      <c r="K113"/>
      <c r="L113"/>
      <c r="M113"/>
      <c r="N113"/>
    </row>
    <row r="114" spans="1:14" ht="15" x14ac:dyDescent="0.25">
      <c r="H114" s="967"/>
      <c r="I114" s="1362"/>
      <c r="J114" s="1362"/>
      <c r="K114" s="1362"/>
      <c r="L114" s="1362"/>
      <c r="M114" s="1362"/>
      <c r="N114" s="1362"/>
    </row>
    <row r="115" spans="1:14" x14ac:dyDescent="0.2">
      <c r="H115"/>
      <c r="I115" s="1349"/>
      <c r="J115" s="1349"/>
      <c r="K115" s="1349"/>
      <c r="L115" s="1349"/>
      <c r="M115" s="1349"/>
      <c r="N115" s="1349"/>
    </row>
    <row r="116" spans="1:14" x14ac:dyDescent="0.2">
      <c r="H116"/>
      <c r="I116" s="1349"/>
      <c r="J116" s="1349"/>
      <c r="K116" s="1349"/>
      <c r="L116" s="1349"/>
      <c r="M116" s="1349"/>
      <c r="N116" s="1349"/>
    </row>
    <row r="117" spans="1:14" x14ac:dyDescent="0.2">
      <c r="H117"/>
      <c r="I117" s="1349"/>
      <c r="J117" s="1349"/>
      <c r="K117" s="1349"/>
      <c r="L117" s="1349"/>
      <c r="M117" s="1349"/>
      <c r="N117" s="1349"/>
    </row>
    <row r="118" spans="1:14" x14ac:dyDescent="0.2">
      <c r="H118"/>
      <c r="I118" s="1349"/>
      <c r="J118" s="1349"/>
      <c r="K118" s="1349"/>
      <c r="L118" s="1349"/>
      <c r="M118" s="1349"/>
      <c r="N118" s="1349"/>
    </row>
  </sheetData>
  <sheetProtection algorithmName="SHA-512" hashValue="xyj3N4gATRphdSK3RaP5NEOuUbu6eGlLNt56AeSACmlqV/1s7L5fovab039Sa67Zt3r53tWm/UJEC/GGnbVCbg==" saltValue="tkiLgrn6wEmYRLYpZkAkgg==" spinCount="100000" sheet="1" objects="1" scenarios="1"/>
  <mergeCells count="42">
    <mergeCell ref="D20:F20"/>
    <mergeCell ref="A4:F4"/>
    <mergeCell ref="C5:D5"/>
    <mergeCell ref="C8:D8"/>
    <mergeCell ref="B11:F11"/>
    <mergeCell ref="B15:F15"/>
    <mergeCell ref="D16:F16"/>
    <mergeCell ref="B17:F17"/>
    <mergeCell ref="D18:F18"/>
    <mergeCell ref="B19:F19"/>
    <mergeCell ref="A48:C48"/>
    <mergeCell ref="I21:N21"/>
    <mergeCell ref="A22:C22"/>
    <mergeCell ref="I22:N38"/>
    <mergeCell ref="C24:F24"/>
    <mergeCell ref="I48:N53"/>
    <mergeCell ref="C86:F86"/>
    <mergeCell ref="I91:N91"/>
    <mergeCell ref="I83:N83"/>
    <mergeCell ref="A84:C84"/>
    <mergeCell ref="I84:N89"/>
    <mergeCell ref="I92:N106"/>
    <mergeCell ref="I108:N108"/>
    <mergeCell ref="I109:N112"/>
    <mergeCell ref="I114:N114"/>
    <mergeCell ref="I115:N118"/>
    <mergeCell ref="I56:N81"/>
    <mergeCell ref="C58:F58"/>
    <mergeCell ref="C59:F59"/>
    <mergeCell ref="C60:F60"/>
    <mergeCell ref="B26:E26"/>
    <mergeCell ref="C37:E37"/>
    <mergeCell ref="C43:F43"/>
    <mergeCell ref="C50:F50"/>
    <mergeCell ref="I55:N55"/>
    <mergeCell ref="A56:C56"/>
    <mergeCell ref="C70:F70"/>
    <mergeCell ref="C71:F71"/>
    <mergeCell ref="I40:N40"/>
    <mergeCell ref="A41:C41"/>
    <mergeCell ref="I41:N45"/>
    <mergeCell ref="I47:N47"/>
  </mergeCells>
  <conditionalFormatting sqref="A4:F4">
    <cfRule type="expression" dxfId="9" priority="34">
      <formula>$C$5&lt;&gt;$C$9</formula>
    </cfRule>
  </conditionalFormatting>
  <conditionalFormatting sqref="A5:F71 A82:F91 A103:F111">
    <cfRule type="expression" dxfId="8" priority="33">
      <formula>$C$5&lt;&gt;$C$9</formula>
    </cfRule>
  </conditionalFormatting>
  <conditionalFormatting sqref="G5">
    <cfRule type="expression" dxfId="7" priority="32">
      <formula>IF(OR(F5="Low",F5="Very Low"),"Ineligible Tract","")</formula>
    </cfRule>
  </conditionalFormatting>
  <conditionalFormatting sqref="G6">
    <cfRule type="expression" dxfId="6" priority="31">
      <formula>IF(OR(AND(F5="Moderate",F6="Slight Decline"),AND(F5="Moderate",F6="Strong Decline")),"Ineliglble Tract","")</formula>
    </cfRule>
  </conditionalFormatting>
  <conditionalFormatting sqref="G7">
    <cfRule type="expression" dxfId="5" priority="30">
      <formula>IF(F7&gt;0.35,"No more than 35% of aff units may be one-bedroom and/or efficiencies""")</formula>
    </cfRule>
  </conditionalFormatting>
  <conditionalFormatting sqref="G8">
    <cfRule type="expression" dxfId="4" priority="29">
      <formula>IF(F8&lt;0.05,"5% of affordable units must be 3+ bedrooms and also be affordable to those earning 60% AMI or less","")</formula>
    </cfRule>
  </conditionalFormatting>
  <conditionalFormatting sqref="D18">
    <cfRule type="expression" dxfId="3" priority="28">
      <formula>IF(C18&gt;0.35,"No more than 35% of aff units may be one-bedroom and/or efficiencies""")</formula>
    </cfRule>
  </conditionalFormatting>
  <conditionalFormatting sqref="D20">
    <cfRule type="expression" dxfId="2" priority="27">
      <formula>IF(C20&lt;0.05,"5% of affordable units must be 3+ bedrooms and also be affordable to those earning 60% AMI or less","")</formula>
    </cfRule>
  </conditionalFormatting>
  <conditionalFormatting sqref="D16">
    <cfRule type="expression" dxfId="1" priority="23">
      <formula>$C$16="Service Enriched"</formula>
    </cfRule>
    <cfRule type="expression" dxfId="0" priority="24">
      <formula>C16="Seniors"</formula>
    </cfRule>
  </conditionalFormatting>
  <dataValidations count="12">
    <dataValidation type="list" allowBlank="1" showInputMessage="1" showErrorMessage="1" sqref="C61" xr:uid="{00000000-0002-0000-1600-000000000000}">
      <formula1>"0,1,2,3,4,5,6,7,8,9,10,11+"</formula1>
    </dataValidation>
    <dataValidation type="list" allowBlank="1" showInputMessage="1" showErrorMessage="1" sqref="H69 C72" xr:uid="{00000000-0002-0000-1600-000001000000}">
      <formula1>"0,1,2,3,4,5,6,7,8,9,10"</formula1>
    </dataValidation>
    <dataValidation type="list" allowBlank="1" showInputMessage="1" showErrorMessage="1" sqref="A42 H42" xr:uid="{00000000-0002-0000-1600-000002000000}">
      <formula1>"0,15"</formula1>
    </dataValidation>
    <dataValidation type="list" allowBlank="1" showInputMessage="1" showErrorMessage="1" sqref="H57 C62" xr:uid="{00000000-0002-0000-1600-000003000000}">
      <formula1>"0,2,4,6,8,10"</formula1>
    </dataValidation>
    <dataValidation type="list" allowBlank="1" showInputMessage="1" showErrorMessage="1" sqref="C66" xr:uid="{00000000-0002-0000-1600-000004000000}">
      <formula1>"0,10"</formula1>
    </dataValidation>
    <dataValidation type="list" allowBlank="1" showInputMessage="1" showErrorMessage="1" sqref="A19 A17 A15 C63 C65 A11 B28:B36" xr:uid="{00000000-0002-0000-1600-000005000000}">
      <formula1>"Yes,No"</formula1>
    </dataValidation>
    <dataValidation type="list" allowBlank="1" showInputMessage="1" showErrorMessage="1" sqref="A23 H23" xr:uid="{00000000-0002-0000-1600-000006000000}">
      <formula1>"0,20"</formula1>
    </dataValidation>
    <dataValidation type="list" allowBlank="1" showInputMessage="1" showErrorMessage="1" sqref="H49 A49" xr:uid="{00000000-0002-0000-1600-000007000000}">
      <formula1>"0,10,20"</formula1>
    </dataValidation>
    <dataValidation type="list" allowBlank="1" showInputMessage="1" showErrorMessage="1" sqref="C51" xr:uid="{00000000-0002-0000-1600-000008000000}">
      <formula1>"Primary,Secondary"</formula1>
    </dataValidation>
    <dataValidation type="list" allowBlank="1" showInputMessage="1" showErrorMessage="1" sqref="H85" xr:uid="{00000000-0002-0000-1600-000009000000}">
      <formula1>"0,1,2,3,4,5"</formula1>
    </dataValidation>
    <dataValidation type="list" allowBlank="1" showInputMessage="1" showErrorMessage="1" sqref="E28:E36" xr:uid="{00000000-0002-0000-1600-00000A000000}">
      <formula1>"On-Site,Contiguous,Other (Document Transit Plan)"</formula1>
    </dataValidation>
    <dataValidation type="list" allowBlank="1" showInputMessage="1" showErrorMessage="1" sqref="C64" xr:uid="{00000000-0002-0000-1600-00000C000000}">
      <formula1>"0,8"</formula1>
    </dataValidation>
  </dataValidations>
  <hyperlinks>
    <hyperlink ref="B57" r:id="rId1" xr:uid="{00000000-0004-0000-1600-000000000000}"/>
    <hyperlink ref="B69" r:id="rId2" xr:uid="{00000000-0004-0000-1600-000001000000}"/>
    <hyperlink ref="B85" r:id="rId3" xr:uid="{00000000-0004-0000-1600-000002000000}"/>
  </hyperlinks>
  <pageMargins left="0.7" right="0.7" top="0.75" bottom="0.75" header="0.3" footer="0.3"/>
  <pageSetup scale="36" orientation="portrait" r:id="rId4"/>
  <ignoredErrors>
    <ignoredError sqref="F84 A85" evalError="1"/>
  </ignoredErrors>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D000000}">
          <x14:formula1>
            <xm:f>Data!$J$109:$J$117</xm:f>
          </x14:formula1>
          <xm:sqref>C52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3"/>
  <dimension ref="A1:C5"/>
  <sheetViews>
    <sheetView workbookViewId="0">
      <selection activeCell="D50" sqref="A1:XFD1048576"/>
    </sheetView>
  </sheetViews>
  <sheetFormatPr defaultColWidth="9" defaultRowHeight="14.25" x14ac:dyDescent="0.2"/>
  <cols>
    <col min="1" max="16384" width="9" style="348"/>
  </cols>
  <sheetData>
    <row r="1" spans="1:3" s="191" customFormat="1" ht="54.95" customHeight="1" x14ac:dyDescent="0.2">
      <c r="B1" s="178"/>
    </row>
    <row r="2" spans="1:3" s="192" customFormat="1" ht="22.5" x14ac:dyDescent="0.3">
      <c r="A2" s="342" t="s">
        <v>3994</v>
      </c>
      <c r="B2" s="343"/>
    </row>
    <row r="3" spans="1:3" s="193" customFormat="1" ht="15.75" x14ac:dyDescent="0.25">
      <c r="A3" s="344" t="s">
        <v>4297</v>
      </c>
      <c r="B3" s="345"/>
      <c r="C3" s="346">
        <f>Transmittal!C3</f>
        <v>0</v>
      </c>
    </row>
    <row r="4" spans="1:3" s="191" customFormat="1" x14ac:dyDescent="0.2">
      <c r="A4" s="347" t="s">
        <v>3995</v>
      </c>
      <c r="B4" s="178"/>
    </row>
    <row r="5" spans="1:3" s="191" customFormat="1" x14ac:dyDescent="0.2"/>
  </sheetData>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4"/>
  <dimension ref="A1:C5"/>
  <sheetViews>
    <sheetView workbookViewId="0">
      <selection activeCell="L26" sqref="L26"/>
    </sheetView>
  </sheetViews>
  <sheetFormatPr defaultColWidth="9" defaultRowHeight="14.25" x14ac:dyDescent="0.2"/>
  <cols>
    <col min="1" max="16384" width="9" style="348"/>
  </cols>
  <sheetData>
    <row r="1" spans="1:3" s="191" customFormat="1" ht="54.95" customHeight="1" x14ac:dyDescent="0.2">
      <c r="B1" s="178"/>
    </row>
    <row r="2" spans="1:3" s="192" customFormat="1" ht="22.5" x14ac:dyDescent="0.3">
      <c r="A2" s="342" t="s">
        <v>3994</v>
      </c>
      <c r="B2" s="343"/>
    </row>
    <row r="3" spans="1:3" s="193" customFormat="1" ht="15.75" x14ac:dyDescent="0.25">
      <c r="A3" s="344" t="s">
        <v>4297</v>
      </c>
      <c r="B3" s="345"/>
      <c r="C3" s="346">
        <f>Transmittal!C3</f>
        <v>0</v>
      </c>
    </row>
    <row r="4" spans="1:3" s="191" customFormat="1" x14ac:dyDescent="0.2">
      <c r="A4" s="347" t="s">
        <v>3995</v>
      </c>
      <c r="B4" s="178"/>
    </row>
    <row r="5" spans="1:3" s="191" customFormat="1" x14ac:dyDescent="0.2"/>
  </sheetData>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dimension ref="A1:AN6121"/>
  <sheetViews>
    <sheetView topLeftCell="I67" zoomScale="85" zoomScaleNormal="85" workbookViewId="0">
      <selection activeCell="O82" sqref="O82"/>
    </sheetView>
  </sheetViews>
  <sheetFormatPr defaultColWidth="9" defaultRowHeight="14.25" x14ac:dyDescent="0.2"/>
  <cols>
    <col min="1" max="1" width="14.375" style="333" customWidth="1"/>
    <col min="2" max="2" width="42.25" customWidth="1"/>
    <col min="3" max="3" width="11.375" style="341" customWidth="1"/>
    <col min="4" max="4" width="9.5" style="275" customWidth="1"/>
    <col min="5" max="5" width="17.875" style="275" customWidth="1"/>
    <col min="6" max="7" width="19.625" style="275" customWidth="1"/>
    <col min="8" max="8" width="13.5" style="275" customWidth="1"/>
    <col min="9" max="9" width="12.375" style="275" customWidth="1"/>
    <col min="10" max="10" width="22.5" customWidth="1"/>
    <col min="11" max="11" width="14" bestFit="1" customWidth="1"/>
    <col min="12" max="12" width="10.75" customWidth="1"/>
    <col min="13" max="15" width="19.875" style="340" customWidth="1"/>
    <col min="16" max="17" width="19.875" style="275" customWidth="1"/>
    <col min="20" max="20" width="9.125" bestFit="1" customWidth="1"/>
    <col min="21" max="21" width="10.375" customWidth="1"/>
    <col min="22" max="22" width="10.125" customWidth="1"/>
    <col min="23" max="25" width="10.25" bestFit="1" customWidth="1"/>
    <col min="26" max="26" width="11.25" bestFit="1" customWidth="1"/>
    <col min="28" max="28" width="10.25" bestFit="1" customWidth="1"/>
    <col min="29" max="34" width="12.375" bestFit="1" customWidth="1"/>
    <col min="35" max="35" width="10.25" bestFit="1" customWidth="1"/>
    <col min="37" max="37" width="11.875" bestFit="1" customWidth="1"/>
    <col min="38" max="38" width="13.875" bestFit="1" customWidth="1"/>
    <col min="39" max="39" width="14.875" bestFit="1" customWidth="1"/>
    <col min="40" max="40" width="9.25" bestFit="1" customWidth="1"/>
  </cols>
  <sheetData>
    <row r="1" spans="1:40" s="5" customFormat="1" ht="54.95" customHeight="1" x14ac:dyDescent="0.2">
      <c r="A1" s="53"/>
      <c r="C1" s="266"/>
      <c r="D1" s="267"/>
      <c r="E1" s="267"/>
      <c r="F1" s="267"/>
      <c r="G1" s="267"/>
      <c r="H1" s="267"/>
      <c r="I1" s="267"/>
      <c r="M1" s="268"/>
      <c r="N1" s="268"/>
      <c r="O1" s="268"/>
      <c r="P1" s="267"/>
      <c r="Q1" s="267"/>
    </row>
    <row r="2" spans="1:40" s="1" customFormat="1" ht="23.25" thickBot="1" x14ac:dyDescent="0.35">
      <c r="A2" s="765" t="s">
        <v>21</v>
      </c>
      <c r="B2" s="755"/>
      <c r="C2" s="756"/>
      <c r="D2" s="754"/>
      <c r="E2" s="754"/>
      <c r="F2" s="754"/>
      <c r="G2" s="754"/>
      <c r="H2" s="754"/>
      <c r="I2" s="754"/>
      <c r="J2" s="269"/>
      <c r="K2" s="269"/>
      <c r="L2" s="269"/>
      <c r="M2" s="271"/>
      <c r="N2" s="271"/>
      <c r="O2" s="271"/>
      <c r="P2" s="270"/>
      <c r="Q2" s="270"/>
      <c r="S2" s="269"/>
      <c r="T2" s="269"/>
      <c r="U2" s="269"/>
      <c r="V2" s="269"/>
      <c r="W2" s="269"/>
      <c r="X2" s="269"/>
      <c r="Y2" s="269"/>
      <c r="Z2" s="269"/>
      <c r="AB2" s="269"/>
      <c r="AC2" s="269"/>
      <c r="AD2" s="269"/>
      <c r="AE2" s="269"/>
      <c r="AF2" s="269"/>
      <c r="AG2" s="269"/>
      <c r="AH2" s="269"/>
    </row>
    <row r="3" spans="1:40" s="2" customFormat="1" ht="16.5" customHeight="1" thickBot="1" x14ac:dyDescent="0.3">
      <c r="A3" s="1445" t="s">
        <v>3181</v>
      </c>
      <c r="B3" s="1446"/>
      <c r="C3" s="1446"/>
      <c r="D3" s="1446"/>
      <c r="E3" s="1446"/>
      <c r="F3" s="1446"/>
      <c r="G3" s="1447"/>
      <c r="H3" s="1445" t="s">
        <v>5901</v>
      </c>
      <c r="I3" s="1446"/>
      <c r="J3" s="757" t="s">
        <v>3554</v>
      </c>
      <c r="K3" s="272" t="s">
        <v>3940</v>
      </c>
      <c r="L3" s="1436" t="s">
        <v>3182</v>
      </c>
      <c r="M3" s="1437"/>
      <c r="N3" s="1437"/>
      <c r="O3" s="1437"/>
      <c r="P3" s="1437"/>
      <c r="Q3" s="1438"/>
      <c r="S3" s="1439" t="s">
        <v>5134</v>
      </c>
      <c r="T3" s="1440"/>
      <c r="U3" s="1440"/>
      <c r="V3" s="1440"/>
      <c r="W3" s="1440"/>
      <c r="X3" s="1440"/>
      <c r="Y3" s="1440"/>
      <c r="Z3" s="1441"/>
      <c r="AB3" s="1442" t="s">
        <v>3188</v>
      </c>
      <c r="AC3" s="1443"/>
      <c r="AD3" s="1443"/>
      <c r="AE3" s="1443"/>
      <c r="AF3" s="1443"/>
      <c r="AG3" s="1443"/>
      <c r="AH3" s="1444"/>
      <c r="AK3" s="273" t="s">
        <v>3213</v>
      </c>
    </row>
    <row r="4" spans="1:40" s="277" customFormat="1" ht="27.75" customHeight="1" x14ac:dyDescent="0.25">
      <c r="A4" s="766" t="s">
        <v>2957</v>
      </c>
      <c r="B4" s="420" t="s">
        <v>22</v>
      </c>
      <c r="C4" s="420" t="s">
        <v>5320</v>
      </c>
      <c r="D4" s="864" t="s">
        <v>4864</v>
      </c>
      <c r="E4" s="420" t="s">
        <v>2958</v>
      </c>
      <c r="F4" s="420" t="s">
        <v>2959</v>
      </c>
      <c r="G4" s="421" t="s">
        <v>3567</v>
      </c>
      <c r="H4" s="274" t="s">
        <v>3930</v>
      </c>
      <c r="I4" s="420" t="s">
        <v>3931</v>
      </c>
      <c r="J4" s="758"/>
      <c r="K4" s="275"/>
      <c r="L4" s="276" t="s">
        <v>5219</v>
      </c>
      <c r="M4" s="727" t="s">
        <v>5220</v>
      </c>
      <c r="N4" s="727"/>
      <c r="O4" s="727"/>
      <c r="P4" s="728"/>
      <c r="Q4" s="730"/>
      <c r="S4" s="278" t="s">
        <v>11</v>
      </c>
      <c r="T4" s="279">
        <v>0</v>
      </c>
      <c r="U4" s="279">
        <v>1</v>
      </c>
      <c r="V4" s="279">
        <v>2</v>
      </c>
      <c r="W4" s="279">
        <v>3</v>
      </c>
      <c r="X4" s="279">
        <v>4</v>
      </c>
      <c r="Y4" s="279">
        <v>5</v>
      </c>
      <c r="Z4" s="280"/>
      <c r="AB4" s="281" t="s">
        <v>11</v>
      </c>
      <c r="AC4" s="282"/>
      <c r="AD4" s="282"/>
      <c r="AE4" s="282"/>
      <c r="AF4" s="282"/>
      <c r="AG4" s="282"/>
      <c r="AH4" s="283"/>
      <c r="AK4" s="284" t="s">
        <v>2972</v>
      </c>
      <c r="AL4" s="285"/>
      <c r="AM4" s="285"/>
      <c r="AN4" s="285"/>
    </row>
    <row r="5" spans="1:40" ht="15" x14ac:dyDescent="0.25">
      <c r="A5" s="944">
        <v>39001770100</v>
      </c>
      <c r="B5" s="239" t="s">
        <v>23</v>
      </c>
      <c r="C5" s="286" t="s">
        <v>4330</v>
      </c>
      <c r="D5" s="865" t="s">
        <v>4330</v>
      </c>
      <c r="E5" s="287" t="s">
        <v>3557</v>
      </c>
      <c r="F5" s="287" t="s">
        <v>5176</v>
      </c>
      <c r="G5" s="288" t="s">
        <v>3568</v>
      </c>
      <c r="H5" s="287">
        <v>43021</v>
      </c>
      <c r="I5" s="287" t="s">
        <v>2975</v>
      </c>
      <c r="J5" s="759" t="s">
        <v>5189</v>
      </c>
      <c r="K5" s="948">
        <v>30000</v>
      </c>
      <c r="L5" s="723" t="s">
        <v>2972</v>
      </c>
      <c r="M5" s="958">
        <v>1.08</v>
      </c>
      <c r="N5" s="724"/>
      <c r="O5" s="724"/>
      <c r="P5" s="291"/>
      <c r="Q5" s="729">
        <v>2336</v>
      </c>
      <c r="S5" s="293" t="s">
        <v>2972</v>
      </c>
      <c r="T5" s="461">
        <v>648</v>
      </c>
      <c r="U5" s="461">
        <v>695</v>
      </c>
      <c r="V5" s="461">
        <v>833</v>
      </c>
      <c r="W5" s="461">
        <v>963</v>
      </c>
      <c r="X5" s="461">
        <v>1075</v>
      </c>
      <c r="Y5" s="461">
        <v>1186</v>
      </c>
      <c r="Z5" s="294"/>
      <c r="AB5" s="295">
        <f>'Project Details'!C12</f>
        <v>0</v>
      </c>
      <c r="AC5" s="296"/>
      <c r="AD5" s="296"/>
      <c r="AE5" s="296"/>
      <c r="AF5" s="296"/>
      <c r="AG5" s="296"/>
      <c r="AH5" s="297"/>
      <c r="AI5" s="298"/>
      <c r="AK5" s="299" t="s">
        <v>2974</v>
      </c>
    </row>
    <row r="6" spans="1:40" ht="15" x14ac:dyDescent="0.25">
      <c r="A6" s="944">
        <v>39001770200</v>
      </c>
      <c r="B6" s="239" t="s">
        <v>24</v>
      </c>
      <c r="C6" s="286" t="s">
        <v>2975</v>
      </c>
      <c r="D6" s="865" t="s">
        <v>2975</v>
      </c>
      <c r="E6" s="287" t="s">
        <v>3557</v>
      </c>
      <c r="F6" s="287" t="s">
        <v>3559</v>
      </c>
      <c r="G6" s="288" t="s">
        <v>3568</v>
      </c>
      <c r="H6" s="287">
        <v>43939</v>
      </c>
      <c r="I6" s="287" t="s">
        <v>2975</v>
      </c>
      <c r="J6" s="759" t="s">
        <v>5190</v>
      </c>
      <c r="K6" s="1035">
        <v>30000</v>
      </c>
      <c r="L6" s="290" t="s">
        <v>2974</v>
      </c>
      <c r="M6" s="958">
        <v>2.29</v>
      </c>
      <c r="N6" s="724"/>
      <c r="O6" s="724"/>
      <c r="P6" s="291"/>
      <c r="Q6" s="729">
        <v>2336</v>
      </c>
      <c r="S6" s="293" t="s">
        <v>2974</v>
      </c>
      <c r="T6" s="461">
        <v>648</v>
      </c>
      <c r="U6" s="461">
        <v>695</v>
      </c>
      <c r="V6" s="461">
        <v>833</v>
      </c>
      <c r="W6" s="461">
        <v>963</v>
      </c>
      <c r="X6" s="461">
        <v>1075</v>
      </c>
      <c r="Y6" s="461">
        <v>1186</v>
      </c>
      <c r="Z6" s="294"/>
      <c r="AB6" s="300"/>
      <c r="AC6" s="296"/>
      <c r="AD6" s="296"/>
      <c r="AE6" s="296"/>
      <c r="AF6" s="296"/>
      <c r="AG6" s="296"/>
      <c r="AH6" s="297"/>
      <c r="AI6" s="298"/>
      <c r="AK6" s="299" t="s">
        <v>2976</v>
      </c>
    </row>
    <row r="7" spans="1:40" ht="15" x14ac:dyDescent="0.25">
      <c r="A7" s="944">
        <v>39001770300</v>
      </c>
      <c r="B7" s="239" t="s">
        <v>25</v>
      </c>
      <c r="C7" s="286" t="s">
        <v>2975</v>
      </c>
      <c r="D7" s="865" t="s">
        <v>2975</v>
      </c>
      <c r="E7" s="287" t="s">
        <v>3557</v>
      </c>
      <c r="F7" s="287" t="s">
        <v>3559</v>
      </c>
      <c r="G7" s="288" t="s">
        <v>3568</v>
      </c>
      <c r="H7" s="287">
        <v>44022</v>
      </c>
      <c r="I7" s="287" t="s">
        <v>2973</v>
      </c>
      <c r="J7" s="759" t="s">
        <v>5191</v>
      </c>
      <c r="K7" s="948">
        <v>30000</v>
      </c>
      <c r="L7" s="290" t="s">
        <v>2976</v>
      </c>
      <c r="M7" s="958">
        <v>1.88</v>
      </c>
      <c r="N7" s="724"/>
      <c r="O7" s="724"/>
      <c r="P7" s="291"/>
      <c r="Q7" s="729">
        <v>2336</v>
      </c>
      <c r="S7" s="293" t="s">
        <v>2976</v>
      </c>
      <c r="T7" s="461">
        <v>656</v>
      </c>
      <c r="U7" s="461">
        <v>703</v>
      </c>
      <c r="V7" s="461">
        <v>843</v>
      </c>
      <c r="W7" s="461">
        <v>973</v>
      </c>
      <c r="X7" s="461">
        <v>1086</v>
      </c>
      <c r="Y7" s="461">
        <v>1198</v>
      </c>
      <c r="Z7" s="294"/>
      <c r="AB7" s="301" t="s">
        <v>3183</v>
      </c>
      <c r="AC7" s="16">
        <v>0</v>
      </c>
      <c r="AD7" s="16">
        <v>1</v>
      </c>
      <c r="AE7" s="16">
        <v>2</v>
      </c>
      <c r="AF7" s="16">
        <v>3</v>
      </c>
      <c r="AG7" s="16">
        <v>4</v>
      </c>
      <c r="AH7" s="302">
        <v>5</v>
      </c>
      <c r="AI7" s="298"/>
      <c r="AK7" s="299" t="s">
        <v>2977</v>
      </c>
    </row>
    <row r="8" spans="1:40" ht="15" x14ac:dyDescent="0.25">
      <c r="A8" s="944">
        <v>39001770400</v>
      </c>
      <c r="B8" s="239" t="s">
        <v>26</v>
      </c>
      <c r="C8" s="286" t="s">
        <v>4330</v>
      </c>
      <c r="D8" s="865" t="s">
        <v>4330</v>
      </c>
      <c r="E8" s="287" t="s">
        <v>3557</v>
      </c>
      <c r="F8" s="287" t="s">
        <v>3565</v>
      </c>
      <c r="G8" s="288" t="s">
        <v>3568</v>
      </c>
      <c r="H8" s="287">
        <v>44023</v>
      </c>
      <c r="I8" s="287" t="s">
        <v>2975</v>
      </c>
      <c r="J8" s="759" t="s">
        <v>5179</v>
      </c>
      <c r="K8" s="289" t="s">
        <v>5332</v>
      </c>
      <c r="L8" s="290" t="s">
        <v>2977</v>
      </c>
      <c r="M8" s="958">
        <v>1.57</v>
      </c>
      <c r="N8" s="724"/>
      <c r="O8" s="724"/>
      <c r="P8" s="291"/>
      <c r="Q8" s="729">
        <v>2336</v>
      </c>
      <c r="S8" s="293" t="s">
        <v>2977</v>
      </c>
      <c r="T8" s="461">
        <v>648</v>
      </c>
      <c r="U8" s="461">
        <v>695</v>
      </c>
      <c r="V8" s="461">
        <v>833</v>
      </c>
      <c r="W8" s="461">
        <v>963</v>
      </c>
      <c r="X8" s="461">
        <v>1075</v>
      </c>
      <c r="Y8" s="461">
        <v>1186</v>
      </c>
      <c r="Z8" s="294"/>
      <c r="AB8" s="303">
        <v>0.2</v>
      </c>
      <c r="AC8" s="304" t="e">
        <f>$AB$8*AC16</f>
        <v>#VALUE!</v>
      </c>
      <c r="AD8" s="304" t="e">
        <f t="shared" ref="AD8:AH8" si="0">$AB$8*AD16</f>
        <v>#VALUE!</v>
      </c>
      <c r="AE8" s="304" t="e">
        <f t="shared" si="0"/>
        <v>#VALUE!</v>
      </c>
      <c r="AF8" s="304" t="e">
        <f t="shared" si="0"/>
        <v>#VALUE!</v>
      </c>
      <c r="AG8" s="304" t="e">
        <f t="shared" si="0"/>
        <v>#VALUE!</v>
      </c>
      <c r="AH8" s="305" t="e">
        <f t="shared" si="0"/>
        <v>#VALUE!</v>
      </c>
      <c r="AI8" s="298"/>
      <c r="AK8" s="299" t="s">
        <v>2978</v>
      </c>
    </row>
    <row r="9" spans="1:40" ht="15" x14ac:dyDescent="0.25">
      <c r="A9" s="944">
        <v>39001770500</v>
      </c>
      <c r="B9" s="239" t="s">
        <v>27</v>
      </c>
      <c r="C9" s="286" t="s">
        <v>4330</v>
      </c>
      <c r="D9" s="865" t="s">
        <v>4330</v>
      </c>
      <c r="E9" s="287" t="s">
        <v>3557</v>
      </c>
      <c r="F9" s="287" t="s">
        <v>3559</v>
      </c>
      <c r="G9" s="288" t="s">
        <v>3568</v>
      </c>
      <c r="H9" s="287">
        <v>44056</v>
      </c>
      <c r="I9" s="287" t="s">
        <v>2975</v>
      </c>
      <c r="J9" s="759" t="s">
        <v>5303</v>
      </c>
      <c r="K9" s="289">
        <v>30000</v>
      </c>
      <c r="L9" s="290" t="s">
        <v>2978</v>
      </c>
      <c r="M9" s="958">
        <v>5.49</v>
      </c>
      <c r="N9" s="724"/>
      <c r="O9" s="724"/>
      <c r="P9" s="291"/>
      <c r="Q9" s="729">
        <v>2336</v>
      </c>
      <c r="S9" s="293" t="s">
        <v>2978</v>
      </c>
      <c r="T9" s="461">
        <v>656</v>
      </c>
      <c r="U9" s="461">
        <v>703</v>
      </c>
      <c r="V9" s="461">
        <v>843</v>
      </c>
      <c r="W9" s="461">
        <v>973</v>
      </c>
      <c r="X9" s="461">
        <v>1086</v>
      </c>
      <c r="Y9" s="461">
        <v>1198</v>
      </c>
      <c r="Z9" s="294"/>
      <c r="AB9" s="303">
        <v>0.3</v>
      </c>
      <c r="AC9" s="304" t="e">
        <f>$AB$9*AC16</f>
        <v>#VALUE!</v>
      </c>
      <c r="AD9" s="304" t="e">
        <f t="shared" ref="AD9:AH9" si="1">$AB$9*AD16</f>
        <v>#VALUE!</v>
      </c>
      <c r="AE9" s="304" t="e">
        <f t="shared" si="1"/>
        <v>#VALUE!</v>
      </c>
      <c r="AF9" s="304" t="e">
        <f t="shared" si="1"/>
        <v>#VALUE!</v>
      </c>
      <c r="AG9" s="304" t="e">
        <f t="shared" si="1"/>
        <v>#VALUE!</v>
      </c>
      <c r="AH9" s="305" t="e">
        <f t="shared" si="1"/>
        <v>#VALUE!</v>
      </c>
      <c r="AI9" s="298"/>
      <c r="AK9" s="299" t="s">
        <v>2979</v>
      </c>
    </row>
    <row r="10" spans="1:40" ht="15" x14ac:dyDescent="0.25">
      <c r="A10" s="944">
        <v>39001770600</v>
      </c>
      <c r="B10" s="239" t="s">
        <v>28</v>
      </c>
      <c r="C10" s="286" t="s">
        <v>4330</v>
      </c>
      <c r="D10" s="865" t="s">
        <v>4330</v>
      </c>
      <c r="E10" s="287" t="s">
        <v>3557</v>
      </c>
      <c r="F10" s="287" t="s">
        <v>3565</v>
      </c>
      <c r="G10" s="288" t="s">
        <v>3568</v>
      </c>
      <c r="H10" s="287">
        <v>44141</v>
      </c>
      <c r="I10" s="287" t="s">
        <v>2973</v>
      </c>
      <c r="J10" s="759"/>
      <c r="K10" s="289"/>
      <c r="L10" s="290" t="s">
        <v>2979</v>
      </c>
      <c r="M10" s="958">
        <v>1.0900000000000001</v>
      </c>
      <c r="N10" s="724"/>
      <c r="O10" s="724"/>
      <c r="P10" s="291"/>
      <c r="Q10" s="729">
        <v>2336</v>
      </c>
      <c r="S10" s="293" t="s">
        <v>2979</v>
      </c>
      <c r="T10" s="461">
        <v>770</v>
      </c>
      <c r="U10" s="461">
        <v>825</v>
      </c>
      <c r="V10" s="461">
        <v>990</v>
      </c>
      <c r="W10" s="461">
        <v>1143</v>
      </c>
      <c r="X10" s="461">
        <v>1275</v>
      </c>
      <c r="Y10" s="461">
        <v>1406</v>
      </c>
      <c r="Z10" s="294"/>
      <c r="AB10" s="303">
        <v>0.35</v>
      </c>
      <c r="AC10" s="304" t="e">
        <f t="shared" ref="AC10:AH10" si="2">AC16*$AB$10</f>
        <v>#VALUE!</v>
      </c>
      <c r="AD10" s="304" t="e">
        <f t="shared" si="2"/>
        <v>#VALUE!</v>
      </c>
      <c r="AE10" s="304" t="e">
        <f t="shared" si="2"/>
        <v>#VALUE!</v>
      </c>
      <c r="AF10" s="304" t="e">
        <f t="shared" si="2"/>
        <v>#VALUE!</v>
      </c>
      <c r="AG10" s="304" t="e">
        <f t="shared" si="2"/>
        <v>#VALUE!</v>
      </c>
      <c r="AH10" s="305" t="e">
        <f t="shared" si="2"/>
        <v>#VALUE!</v>
      </c>
      <c r="AI10" s="298"/>
      <c r="AK10" s="299" t="s">
        <v>2980</v>
      </c>
    </row>
    <row r="11" spans="1:40" ht="15" x14ac:dyDescent="0.25">
      <c r="A11" s="944">
        <v>39003010100</v>
      </c>
      <c r="B11" s="239" t="s">
        <v>29</v>
      </c>
      <c r="C11" s="286" t="s">
        <v>2975</v>
      </c>
      <c r="D11" s="865" t="s">
        <v>2975</v>
      </c>
      <c r="E11" s="287" t="s">
        <v>3562</v>
      </c>
      <c r="F11" s="287" t="s">
        <v>5177</v>
      </c>
      <c r="G11" s="288" t="s">
        <v>3568</v>
      </c>
      <c r="H11" s="287">
        <v>44202</v>
      </c>
      <c r="I11" s="287" t="s">
        <v>2973</v>
      </c>
      <c r="J11" s="759"/>
      <c r="K11" s="289"/>
      <c r="L11" s="290" t="s">
        <v>2980</v>
      </c>
      <c r="M11" s="958">
        <v>0.62</v>
      </c>
      <c r="N11" s="724"/>
      <c r="O11" s="724"/>
      <c r="P11" s="291"/>
      <c r="Q11" s="729">
        <v>2336</v>
      </c>
      <c r="S11" s="293" t="s">
        <v>2980</v>
      </c>
      <c r="T11" s="461">
        <v>641</v>
      </c>
      <c r="U11" s="461">
        <v>686</v>
      </c>
      <c r="V11" s="461">
        <v>823</v>
      </c>
      <c r="W11" s="461">
        <v>951</v>
      </c>
      <c r="X11" s="461">
        <v>1062</v>
      </c>
      <c r="Y11" s="461">
        <v>1171</v>
      </c>
      <c r="Z11" s="294"/>
      <c r="AB11" s="303">
        <v>0.4</v>
      </c>
      <c r="AC11" s="304" t="e">
        <f>$AB$11*AC16</f>
        <v>#VALUE!</v>
      </c>
      <c r="AD11" s="304" t="e">
        <f t="shared" ref="AD11:AH11" si="3">$AB$11*AD16</f>
        <v>#VALUE!</v>
      </c>
      <c r="AE11" s="304" t="e">
        <f t="shared" si="3"/>
        <v>#VALUE!</v>
      </c>
      <c r="AF11" s="304" t="e">
        <f t="shared" si="3"/>
        <v>#VALUE!</v>
      </c>
      <c r="AG11" s="304" t="e">
        <f t="shared" si="3"/>
        <v>#VALUE!</v>
      </c>
      <c r="AH11" s="305" t="e">
        <f t="shared" si="3"/>
        <v>#VALUE!</v>
      </c>
      <c r="AI11" s="298"/>
      <c r="AK11" s="299" t="s">
        <v>2981</v>
      </c>
    </row>
    <row r="12" spans="1:40" ht="15" x14ac:dyDescent="0.25">
      <c r="A12" s="944">
        <v>39003010200</v>
      </c>
      <c r="B12" s="239" t="s">
        <v>30</v>
      </c>
      <c r="C12" s="286" t="s">
        <v>2975</v>
      </c>
      <c r="D12" s="865" t="s">
        <v>2975</v>
      </c>
      <c r="E12" s="287" t="s">
        <v>3563</v>
      </c>
      <c r="F12" s="287" t="s">
        <v>3558</v>
      </c>
      <c r="G12" s="288" t="s">
        <v>3568</v>
      </c>
      <c r="H12" s="287">
        <v>45174</v>
      </c>
      <c r="I12" s="287" t="s">
        <v>2975</v>
      </c>
      <c r="J12" s="759"/>
      <c r="K12" s="289"/>
      <c r="L12" s="290" t="s">
        <v>2981</v>
      </c>
      <c r="M12" s="958">
        <v>0.71</v>
      </c>
      <c r="N12" s="724"/>
      <c r="O12" s="724"/>
      <c r="P12" s="291"/>
      <c r="Q12" s="729">
        <v>2336</v>
      </c>
      <c r="S12" s="293" t="s">
        <v>2981</v>
      </c>
      <c r="T12" s="461">
        <v>648</v>
      </c>
      <c r="U12" s="461">
        <v>695</v>
      </c>
      <c r="V12" s="461">
        <v>833</v>
      </c>
      <c r="W12" s="461">
        <v>963</v>
      </c>
      <c r="X12" s="461">
        <v>1075</v>
      </c>
      <c r="Y12" s="461">
        <v>1186</v>
      </c>
      <c r="Z12" s="294"/>
      <c r="AB12" s="303">
        <v>0.5</v>
      </c>
      <c r="AC12" s="304" t="e">
        <f>DGET(Data!$S$4:$Y$92,"0",Data!AB4:$AB$5)</f>
        <v>#VALUE!</v>
      </c>
      <c r="AD12" s="304" t="e">
        <f>DGET(Data!$S$4:$Y$92,"1",Data!$AB4:AB$5)</f>
        <v>#VALUE!</v>
      </c>
      <c r="AE12" s="304" t="e">
        <f>DGET(Data!$S$4:$Y$92,"2",Data!$AB4:AB$5)</f>
        <v>#VALUE!</v>
      </c>
      <c r="AF12" s="304" t="e">
        <f>DGET(Data!$S$4:$Y$92,"3",Data!$AB4:AB$5)</f>
        <v>#VALUE!</v>
      </c>
      <c r="AG12" s="304" t="e">
        <f>DGET(Data!$S$4:$Y$92,"4",Data!$AB4:AB$5)</f>
        <v>#VALUE!</v>
      </c>
      <c r="AH12" s="305" t="e">
        <f>DGET(Data!$S$4:$Y$92,"5",Data!$AB4:AB$5)</f>
        <v>#VALUE!</v>
      </c>
      <c r="AI12" s="298"/>
      <c r="AK12" s="299" t="s">
        <v>2982</v>
      </c>
    </row>
    <row r="13" spans="1:40" ht="15" x14ac:dyDescent="0.25">
      <c r="A13" s="944">
        <v>39003010300</v>
      </c>
      <c r="B13" s="239" t="s">
        <v>31</v>
      </c>
      <c r="C13" s="286" t="s">
        <v>2975</v>
      </c>
      <c r="D13" s="865" t="s">
        <v>2975</v>
      </c>
      <c r="E13" s="287" t="s">
        <v>3562</v>
      </c>
      <c r="F13" s="287" t="s">
        <v>5177</v>
      </c>
      <c r="G13" s="288" t="s">
        <v>3568</v>
      </c>
      <c r="H13" s="287">
        <v>45688</v>
      </c>
      <c r="I13" s="287" t="s">
        <v>2975</v>
      </c>
      <c r="J13" s="759"/>
      <c r="K13" s="289"/>
      <c r="L13" s="290" t="s">
        <v>2982</v>
      </c>
      <c r="M13" s="958">
        <v>0.33</v>
      </c>
      <c r="N13" s="724"/>
      <c r="O13" s="724"/>
      <c r="P13" s="291"/>
      <c r="Q13" s="729">
        <v>2336</v>
      </c>
      <c r="S13" s="293" t="s">
        <v>2982</v>
      </c>
      <c r="T13" s="461">
        <v>836</v>
      </c>
      <c r="U13" s="461">
        <v>895</v>
      </c>
      <c r="V13" s="461">
        <v>1075</v>
      </c>
      <c r="W13" s="461">
        <v>1241</v>
      </c>
      <c r="X13" s="461">
        <v>1385</v>
      </c>
      <c r="Y13" s="461">
        <v>1528</v>
      </c>
      <c r="Z13" s="294"/>
      <c r="AB13" s="303">
        <v>0.6</v>
      </c>
      <c r="AC13" s="304" t="e">
        <f t="shared" ref="AC13:AH13" si="4">AC16*$AB$13</f>
        <v>#VALUE!</v>
      </c>
      <c r="AD13" s="304" t="e">
        <f t="shared" si="4"/>
        <v>#VALUE!</v>
      </c>
      <c r="AE13" s="304" t="e">
        <f t="shared" si="4"/>
        <v>#VALUE!</v>
      </c>
      <c r="AF13" s="304" t="e">
        <f t="shared" si="4"/>
        <v>#VALUE!</v>
      </c>
      <c r="AG13" s="304" t="e">
        <f t="shared" si="4"/>
        <v>#VALUE!</v>
      </c>
      <c r="AH13" s="305" t="e">
        <f t="shared" si="4"/>
        <v>#VALUE!</v>
      </c>
      <c r="AI13" s="298"/>
      <c r="AK13" s="299" t="s">
        <v>2983</v>
      </c>
    </row>
    <row r="14" spans="1:40" ht="15" x14ac:dyDescent="0.25">
      <c r="A14" s="944">
        <v>39003010600</v>
      </c>
      <c r="B14" s="239" t="s">
        <v>32</v>
      </c>
      <c r="C14" s="286" t="s">
        <v>2975</v>
      </c>
      <c r="D14" s="865" t="s">
        <v>2975</v>
      </c>
      <c r="E14" s="287" t="s">
        <v>3563</v>
      </c>
      <c r="F14" s="287" t="s">
        <v>3558</v>
      </c>
      <c r="G14" s="288" t="s">
        <v>3568</v>
      </c>
      <c r="H14" s="287">
        <v>43001</v>
      </c>
      <c r="I14" s="287" t="s">
        <v>2975</v>
      </c>
      <c r="J14" s="758"/>
      <c r="K14" s="289"/>
      <c r="L14" s="290" t="s">
        <v>2983</v>
      </c>
      <c r="M14" s="958">
        <v>0</v>
      </c>
      <c r="N14" s="724"/>
      <c r="O14" s="724"/>
      <c r="P14" s="726"/>
      <c r="Q14" s="729">
        <v>2336</v>
      </c>
      <c r="S14" s="293" t="s">
        <v>2983</v>
      </c>
      <c r="T14" s="461">
        <v>673</v>
      </c>
      <c r="U14" s="461">
        <v>721</v>
      </c>
      <c r="V14" s="461">
        <v>866</v>
      </c>
      <c r="W14" s="461">
        <v>1000</v>
      </c>
      <c r="X14" s="461">
        <v>1116</v>
      </c>
      <c r="Y14" s="461">
        <v>1231</v>
      </c>
      <c r="Z14" s="294"/>
      <c r="AB14" s="303">
        <v>0.7</v>
      </c>
      <c r="AC14" s="304" t="e">
        <f>$AB$14*AC16</f>
        <v>#VALUE!</v>
      </c>
      <c r="AD14" s="304" t="e">
        <f t="shared" ref="AD14:AH14" si="5">$AB$14*AD16</f>
        <v>#VALUE!</v>
      </c>
      <c r="AE14" s="304" t="e">
        <f t="shared" si="5"/>
        <v>#VALUE!</v>
      </c>
      <c r="AF14" s="304" t="e">
        <f t="shared" si="5"/>
        <v>#VALUE!</v>
      </c>
      <c r="AG14" s="304" t="e">
        <f t="shared" si="5"/>
        <v>#VALUE!</v>
      </c>
      <c r="AH14" s="305" t="e">
        <f t="shared" si="5"/>
        <v>#VALUE!</v>
      </c>
      <c r="AI14" s="298"/>
      <c r="AK14" s="299" t="s">
        <v>2984</v>
      </c>
    </row>
    <row r="15" spans="1:40" ht="15" x14ac:dyDescent="0.25">
      <c r="A15" s="944">
        <v>39003010800</v>
      </c>
      <c r="B15" s="239" t="s">
        <v>33</v>
      </c>
      <c r="C15" s="286" t="s">
        <v>2975</v>
      </c>
      <c r="D15" s="865" t="s">
        <v>2975</v>
      </c>
      <c r="E15" s="287" t="s">
        <v>3563</v>
      </c>
      <c r="F15" s="287" t="s">
        <v>5176</v>
      </c>
      <c r="G15" s="288" t="s">
        <v>3569</v>
      </c>
      <c r="H15" s="287">
        <v>43002</v>
      </c>
      <c r="I15" s="287" t="s">
        <v>2975</v>
      </c>
      <c r="J15" s="758"/>
      <c r="K15" s="289"/>
      <c r="L15" s="290" t="s">
        <v>2984</v>
      </c>
      <c r="M15" s="958">
        <v>1.3</v>
      </c>
      <c r="N15" s="724"/>
      <c r="O15" s="724"/>
      <c r="P15" s="291"/>
      <c r="Q15" s="729">
        <v>2336</v>
      </c>
      <c r="S15" s="293" t="s">
        <v>2984</v>
      </c>
      <c r="T15" s="461">
        <v>687</v>
      </c>
      <c r="U15" s="461">
        <v>736</v>
      </c>
      <c r="V15" s="461">
        <v>883</v>
      </c>
      <c r="W15" s="461">
        <v>1020</v>
      </c>
      <c r="X15" s="461">
        <v>1138</v>
      </c>
      <c r="Y15" s="461">
        <v>1256</v>
      </c>
      <c r="Z15" s="294"/>
      <c r="AB15" s="303">
        <v>0.8</v>
      </c>
      <c r="AC15" s="304" t="e">
        <f t="shared" ref="AC15:AH15" si="6">AC16*$AB$15</f>
        <v>#VALUE!</v>
      </c>
      <c r="AD15" s="304" t="e">
        <f t="shared" si="6"/>
        <v>#VALUE!</v>
      </c>
      <c r="AE15" s="304" t="e">
        <f t="shared" si="6"/>
        <v>#VALUE!</v>
      </c>
      <c r="AF15" s="304" t="e">
        <f t="shared" si="6"/>
        <v>#VALUE!</v>
      </c>
      <c r="AG15" s="304" t="e">
        <f t="shared" si="6"/>
        <v>#VALUE!</v>
      </c>
      <c r="AH15" s="305" t="e">
        <f t="shared" si="6"/>
        <v>#VALUE!</v>
      </c>
      <c r="AI15" s="298"/>
      <c r="AJ15" s="298"/>
      <c r="AK15" s="299" t="s">
        <v>2985</v>
      </c>
    </row>
    <row r="16" spans="1:40" ht="15" x14ac:dyDescent="0.25">
      <c r="A16" s="944">
        <v>39003010900</v>
      </c>
      <c r="B16" s="239" t="s">
        <v>34</v>
      </c>
      <c r="C16" s="286" t="s">
        <v>2975</v>
      </c>
      <c r="D16" s="865" t="s">
        <v>2975</v>
      </c>
      <c r="E16" s="287" t="s">
        <v>3566</v>
      </c>
      <c r="F16" s="287" t="s">
        <v>3559</v>
      </c>
      <c r="G16" s="288" t="s">
        <v>3569</v>
      </c>
      <c r="H16" s="287">
        <v>43003</v>
      </c>
      <c r="I16" s="287" t="s">
        <v>2975</v>
      </c>
      <c r="J16" s="757" t="s">
        <v>3593</v>
      </c>
      <c r="K16" s="272"/>
      <c r="L16" s="290" t="s">
        <v>2985</v>
      </c>
      <c r="M16" s="958">
        <v>1.59</v>
      </c>
      <c r="N16" s="724"/>
      <c r="O16" s="724"/>
      <c r="P16" s="291"/>
      <c r="Q16" s="729">
        <v>2336</v>
      </c>
      <c r="S16" s="293" t="s">
        <v>2985</v>
      </c>
      <c r="T16" s="461">
        <v>648</v>
      </c>
      <c r="U16" s="461">
        <v>695</v>
      </c>
      <c r="V16" s="461">
        <v>833</v>
      </c>
      <c r="W16" s="461">
        <v>963</v>
      </c>
      <c r="X16" s="461">
        <v>1075</v>
      </c>
      <c r="Y16" s="461">
        <v>1186</v>
      </c>
      <c r="Z16" s="294"/>
      <c r="AB16" s="303">
        <v>1</v>
      </c>
      <c r="AC16" s="304" t="e">
        <f t="shared" ref="AC16:AH16" si="7">AC12*2</f>
        <v>#VALUE!</v>
      </c>
      <c r="AD16" s="304" t="e">
        <f t="shared" si="7"/>
        <v>#VALUE!</v>
      </c>
      <c r="AE16" s="304" t="e">
        <f t="shared" si="7"/>
        <v>#VALUE!</v>
      </c>
      <c r="AF16" s="304" t="e">
        <f t="shared" si="7"/>
        <v>#VALUE!</v>
      </c>
      <c r="AG16" s="304" t="e">
        <f t="shared" si="7"/>
        <v>#VALUE!</v>
      </c>
      <c r="AH16" s="305" t="e">
        <f t="shared" si="7"/>
        <v>#VALUE!</v>
      </c>
      <c r="AI16" s="298"/>
      <c r="AJ16" s="298"/>
      <c r="AK16" s="299" t="s">
        <v>2986</v>
      </c>
    </row>
    <row r="17" spans="1:37" ht="15.75" thickBot="1" x14ac:dyDescent="0.3">
      <c r="A17" s="944">
        <v>39003011000</v>
      </c>
      <c r="B17" s="239" t="s">
        <v>35</v>
      </c>
      <c r="C17" s="286" t="s">
        <v>2975</v>
      </c>
      <c r="D17" s="865" t="s">
        <v>2975</v>
      </c>
      <c r="E17" s="287" t="s">
        <v>3564</v>
      </c>
      <c r="F17" s="287" t="s">
        <v>3558</v>
      </c>
      <c r="G17" s="288" t="s">
        <v>3569</v>
      </c>
      <c r="H17" s="287">
        <v>43004</v>
      </c>
      <c r="I17" s="287" t="s">
        <v>2975</v>
      </c>
      <c r="J17" s="759" t="s">
        <v>3928</v>
      </c>
      <c r="L17" s="290" t="s">
        <v>2986</v>
      </c>
      <c r="M17" s="958">
        <v>0</v>
      </c>
      <c r="N17" s="724"/>
      <c r="O17" s="724"/>
      <c r="P17" s="291"/>
      <c r="Q17" s="729">
        <v>2336</v>
      </c>
      <c r="S17" s="293" t="s">
        <v>2986</v>
      </c>
      <c r="T17" s="461">
        <v>836</v>
      </c>
      <c r="U17" s="461">
        <v>895</v>
      </c>
      <c r="V17" s="461">
        <v>1075</v>
      </c>
      <c r="W17" s="461">
        <v>1241</v>
      </c>
      <c r="X17" s="461">
        <v>1385</v>
      </c>
      <c r="Y17" s="461">
        <v>1528</v>
      </c>
      <c r="Z17" s="294"/>
      <c r="AB17" s="306">
        <v>1.2</v>
      </c>
      <c r="AC17" s="307" t="e">
        <f t="shared" ref="AC17:AH17" si="8">AC16*$AB$17</f>
        <v>#VALUE!</v>
      </c>
      <c r="AD17" s="307" t="e">
        <f t="shared" si="8"/>
        <v>#VALUE!</v>
      </c>
      <c r="AE17" s="307" t="e">
        <f t="shared" si="8"/>
        <v>#VALUE!</v>
      </c>
      <c r="AF17" s="307" t="e">
        <f t="shared" si="8"/>
        <v>#VALUE!</v>
      </c>
      <c r="AG17" s="307" t="e">
        <f t="shared" si="8"/>
        <v>#VALUE!</v>
      </c>
      <c r="AH17" s="308" t="e">
        <f t="shared" si="8"/>
        <v>#VALUE!</v>
      </c>
      <c r="AI17" s="298"/>
      <c r="AJ17" s="298"/>
      <c r="AK17" s="299" t="s">
        <v>2987</v>
      </c>
    </row>
    <row r="18" spans="1:37" ht="15" x14ac:dyDescent="0.25">
      <c r="A18" s="944">
        <v>39003011200</v>
      </c>
      <c r="B18" s="239" t="s">
        <v>36</v>
      </c>
      <c r="C18" s="286" t="s">
        <v>2975</v>
      </c>
      <c r="D18" s="865" t="s">
        <v>2975</v>
      </c>
      <c r="E18" s="287" t="s">
        <v>3564</v>
      </c>
      <c r="F18" s="287" t="s">
        <v>5177</v>
      </c>
      <c r="G18" s="288" t="s">
        <v>3569</v>
      </c>
      <c r="H18" s="287">
        <v>43005</v>
      </c>
      <c r="I18" s="287" t="s">
        <v>2975</v>
      </c>
      <c r="J18" s="759" t="s">
        <v>5183</v>
      </c>
      <c r="L18" s="290" t="s">
        <v>2987</v>
      </c>
      <c r="M18" s="958">
        <v>4</v>
      </c>
      <c r="N18" s="724"/>
      <c r="O18" s="724"/>
      <c r="P18" s="291"/>
      <c r="Q18" s="729">
        <v>2336</v>
      </c>
      <c r="S18" s="293" t="s">
        <v>2987</v>
      </c>
      <c r="T18" s="461">
        <v>650</v>
      </c>
      <c r="U18" s="461">
        <v>696</v>
      </c>
      <c r="V18" s="461">
        <v>835</v>
      </c>
      <c r="W18" s="461">
        <v>965</v>
      </c>
      <c r="X18" s="461">
        <v>1076</v>
      </c>
      <c r="Y18" s="461">
        <v>1188</v>
      </c>
      <c r="Z18" s="294"/>
      <c r="AB18" s="298"/>
      <c r="AC18" s="298"/>
      <c r="AD18" s="298"/>
      <c r="AE18" s="298"/>
      <c r="AF18" s="298"/>
      <c r="AG18" s="298"/>
      <c r="AH18" s="298"/>
      <c r="AI18" s="298"/>
      <c r="AK18" s="299" t="s">
        <v>2988</v>
      </c>
    </row>
    <row r="19" spans="1:37" ht="15" x14ac:dyDescent="0.25">
      <c r="A19" s="944">
        <v>39003011300</v>
      </c>
      <c r="B19" s="239" t="s">
        <v>37</v>
      </c>
      <c r="C19" s="286" t="s">
        <v>2975</v>
      </c>
      <c r="D19" s="865" t="s">
        <v>2975</v>
      </c>
      <c r="E19" s="287" t="s">
        <v>3562</v>
      </c>
      <c r="F19" s="287" t="s">
        <v>5177</v>
      </c>
      <c r="G19" s="288" t="s">
        <v>3568</v>
      </c>
      <c r="H19" s="287">
        <v>43006</v>
      </c>
      <c r="I19" s="287" t="s">
        <v>2975</v>
      </c>
      <c r="J19" s="759" t="s">
        <v>5184</v>
      </c>
      <c r="L19" s="290" t="s">
        <v>2988</v>
      </c>
      <c r="M19" s="958">
        <v>0.35</v>
      </c>
      <c r="N19" s="724"/>
      <c r="O19" s="724"/>
      <c r="P19" s="291"/>
      <c r="Q19" s="729">
        <v>2336</v>
      </c>
      <c r="S19" s="293" t="s">
        <v>2988</v>
      </c>
      <c r="T19" s="461">
        <v>648</v>
      </c>
      <c r="U19" s="461">
        <v>695</v>
      </c>
      <c r="V19" s="461">
        <v>833</v>
      </c>
      <c r="W19" s="461">
        <v>963</v>
      </c>
      <c r="X19" s="461">
        <v>1075</v>
      </c>
      <c r="Y19" s="461">
        <v>1186</v>
      </c>
      <c r="Z19" s="294"/>
      <c r="AB19" s="309" t="s">
        <v>3189</v>
      </c>
      <c r="AC19" s="310">
        <f>'Budget &amp; Costs'!G9</f>
        <v>0</v>
      </c>
      <c r="AD19" s="311" t="s">
        <v>3190</v>
      </c>
      <c r="AE19" s="312">
        <f>'Budget &amp; Costs'!G10</f>
        <v>0</v>
      </c>
      <c r="AF19" s="313" t="s">
        <v>3191</v>
      </c>
      <c r="AG19" s="314">
        <f>'Budget &amp; Costs'!G11</f>
        <v>0</v>
      </c>
      <c r="AH19" s="315" t="s">
        <v>3192</v>
      </c>
      <c r="AI19" s="316">
        <f>'Budget &amp; Costs'!G12</f>
        <v>0</v>
      </c>
      <c r="AK19" s="299" t="s">
        <v>2989</v>
      </c>
    </row>
    <row r="20" spans="1:37" ht="15" x14ac:dyDescent="0.25">
      <c r="A20" s="944">
        <v>39003011400</v>
      </c>
      <c r="B20" s="239" t="s">
        <v>38</v>
      </c>
      <c r="C20" s="286" t="s">
        <v>2975</v>
      </c>
      <c r="D20" s="865" t="s">
        <v>2975</v>
      </c>
      <c r="E20" s="287" t="s">
        <v>3563</v>
      </c>
      <c r="F20" s="287" t="s">
        <v>3558</v>
      </c>
      <c r="G20" s="288" t="s">
        <v>3568</v>
      </c>
      <c r="H20" s="287">
        <v>43008</v>
      </c>
      <c r="I20" s="287" t="s">
        <v>2975</v>
      </c>
      <c r="J20" s="759" t="s">
        <v>3555</v>
      </c>
      <c r="L20" s="290" t="s">
        <v>2989</v>
      </c>
      <c r="M20" s="958">
        <v>0.91</v>
      </c>
      <c r="N20" s="724"/>
      <c r="O20" s="724"/>
      <c r="P20" s="291"/>
      <c r="Q20" s="729">
        <v>2336</v>
      </c>
      <c r="S20" s="293" t="s">
        <v>2989</v>
      </c>
      <c r="T20" s="461">
        <v>648</v>
      </c>
      <c r="U20" s="461">
        <v>695</v>
      </c>
      <c r="V20" s="461">
        <v>833</v>
      </c>
      <c r="W20" s="461">
        <v>963</v>
      </c>
      <c r="X20" s="461">
        <v>1075</v>
      </c>
      <c r="Y20" s="461">
        <v>1186</v>
      </c>
      <c r="Z20" s="294"/>
      <c r="AB20" s="317">
        <v>0</v>
      </c>
      <c r="AC20" s="318" t="e">
        <f>VLOOKUP(AC19,AB8:AH17,2,FALSE)</f>
        <v>#N/A</v>
      </c>
      <c r="AD20" s="319">
        <v>0</v>
      </c>
      <c r="AE20" s="320" t="e">
        <f>VLOOKUP(AE19,$AB$8:$AH$17,2,FALSE)</f>
        <v>#N/A</v>
      </c>
      <c r="AF20" s="321">
        <v>0</v>
      </c>
      <c r="AG20" s="322" t="e">
        <f>VLOOKUP(AG19,$AB$8:$AH$17,2,FALSE)</f>
        <v>#N/A</v>
      </c>
      <c r="AH20" s="323">
        <v>0</v>
      </c>
      <c r="AI20" s="324" t="e">
        <f>VLOOKUP(AI19,$AB$8:$AH$17,2,FALSE)</f>
        <v>#N/A</v>
      </c>
      <c r="AK20" s="299" t="s">
        <v>2990</v>
      </c>
    </row>
    <row r="21" spans="1:37" ht="15" x14ac:dyDescent="0.25">
      <c r="A21" s="944">
        <v>39003011500</v>
      </c>
      <c r="B21" s="239" t="s">
        <v>39</v>
      </c>
      <c r="C21" s="286" t="s">
        <v>2975</v>
      </c>
      <c r="D21" s="865" t="s">
        <v>2975</v>
      </c>
      <c r="E21" s="287" t="s">
        <v>3566</v>
      </c>
      <c r="F21" s="287" t="s">
        <v>3558</v>
      </c>
      <c r="G21" s="288" t="s">
        <v>3568</v>
      </c>
      <c r="H21" s="287">
        <v>43009</v>
      </c>
      <c r="I21" s="287" t="s">
        <v>2975</v>
      </c>
      <c r="J21" s="759" t="s">
        <v>5185</v>
      </c>
      <c r="L21" s="290" t="s">
        <v>2990</v>
      </c>
      <c r="M21" s="958">
        <v>0.6</v>
      </c>
      <c r="N21" s="724"/>
      <c r="O21" s="724"/>
      <c r="P21" s="291"/>
      <c r="Q21" s="729">
        <v>2336</v>
      </c>
      <c r="S21" s="293" t="s">
        <v>2990</v>
      </c>
      <c r="T21" s="461">
        <v>648</v>
      </c>
      <c r="U21" s="461">
        <v>695</v>
      </c>
      <c r="V21" s="461">
        <v>833</v>
      </c>
      <c r="W21" s="461">
        <v>963</v>
      </c>
      <c r="X21" s="461">
        <v>1075</v>
      </c>
      <c r="Y21" s="461">
        <v>1186</v>
      </c>
      <c r="Z21" s="294"/>
      <c r="AB21" s="317">
        <v>1</v>
      </c>
      <c r="AC21" s="318" t="e">
        <f>VLOOKUP(AC19,AB8:AH17,3,FALSE)</f>
        <v>#N/A</v>
      </c>
      <c r="AD21" s="319">
        <v>1</v>
      </c>
      <c r="AE21" s="320" t="e">
        <f>VLOOKUP(AE19,$AB$8:$AH$17,3,FALSE)</f>
        <v>#N/A</v>
      </c>
      <c r="AF21" s="321">
        <v>1</v>
      </c>
      <c r="AG21" s="322" t="e">
        <f>VLOOKUP(AG19,$AB$8:$AH$17,3,FALSE)</f>
        <v>#N/A</v>
      </c>
      <c r="AH21" s="323">
        <v>1</v>
      </c>
      <c r="AI21" s="324" t="e">
        <f>VLOOKUP(AI19,$AB$8:$AH$17,3,FALSE)</f>
        <v>#N/A</v>
      </c>
      <c r="AK21" s="299" t="s">
        <v>2991</v>
      </c>
    </row>
    <row r="22" spans="1:37" ht="15" x14ac:dyDescent="0.25">
      <c r="A22" s="944">
        <v>39003011600</v>
      </c>
      <c r="B22" s="239" t="s">
        <v>40</v>
      </c>
      <c r="C22" s="286" t="s">
        <v>2975</v>
      </c>
      <c r="D22" s="865" t="s">
        <v>2975</v>
      </c>
      <c r="E22" s="287" t="s">
        <v>3564</v>
      </c>
      <c r="F22" s="287" t="s">
        <v>5176</v>
      </c>
      <c r="G22" s="288" t="s">
        <v>3568</v>
      </c>
      <c r="H22" s="287">
        <v>43010</v>
      </c>
      <c r="I22" s="287" t="s">
        <v>2975</v>
      </c>
      <c r="J22" s="759" t="s">
        <v>5186</v>
      </c>
      <c r="L22" s="290" t="s">
        <v>2991</v>
      </c>
      <c r="M22" s="958">
        <v>1.36</v>
      </c>
      <c r="N22" s="724"/>
      <c r="O22" s="724"/>
      <c r="P22" s="291"/>
      <c r="Q22" s="729">
        <v>1557</v>
      </c>
      <c r="S22" s="293" t="s">
        <v>2991</v>
      </c>
      <c r="T22" s="461">
        <v>747</v>
      </c>
      <c r="U22" s="461">
        <v>801</v>
      </c>
      <c r="V22" s="461">
        <v>961</v>
      </c>
      <c r="W22" s="461">
        <v>1110</v>
      </c>
      <c r="X22" s="461">
        <v>1238</v>
      </c>
      <c r="Y22" s="461">
        <v>1366</v>
      </c>
      <c r="Z22" s="294"/>
      <c r="AB22" s="317">
        <v>2</v>
      </c>
      <c r="AC22" s="318" t="e">
        <f>VLOOKUP(AC19,AB8:AH17,4,FALSE)</f>
        <v>#N/A</v>
      </c>
      <c r="AD22" s="319">
        <v>2</v>
      </c>
      <c r="AE22" s="320" t="e">
        <f>VLOOKUP(AE19,$AB$8:$AH$17,4,FALSE)</f>
        <v>#N/A</v>
      </c>
      <c r="AF22" s="321">
        <v>2</v>
      </c>
      <c r="AG22" s="322" t="e">
        <f>VLOOKUP(AG19,$AB$8:$AH$17,4,FALSE)</f>
        <v>#N/A</v>
      </c>
      <c r="AH22" s="323">
        <v>2</v>
      </c>
      <c r="AI22" s="324" t="e">
        <f>VLOOKUP(AI19,$AB$8:$AH$17,4,FALSE)</f>
        <v>#N/A</v>
      </c>
      <c r="AK22" s="299" t="s">
        <v>2992</v>
      </c>
    </row>
    <row r="23" spans="1:37" ht="15" x14ac:dyDescent="0.25">
      <c r="A23" s="944">
        <v>39003011800</v>
      </c>
      <c r="B23" s="239" t="s">
        <v>41</v>
      </c>
      <c r="C23" s="286" t="s">
        <v>2975</v>
      </c>
      <c r="D23" s="865" t="s">
        <v>2975</v>
      </c>
      <c r="E23" s="287" t="s">
        <v>3563</v>
      </c>
      <c r="F23" s="287" t="s">
        <v>3565</v>
      </c>
      <c r="G23" s="288" t="s">
        <v>3569</v>
      </c>
      <c r="H23" s="287">
        <v>43011</v>
      </c>
      <c r="I23" s="287" t="s">
        <v>2975</v>
      </c>
      <c r="J23" s="759" t="s">
        <v>5187</v>
      </c>
      <c r="L23" s="290" t="s">
        <v>2992</v>
      </c>
      <c r="M23" s="958">
        <v>0</v>
      </c>
      <c r="N23" s="724"/>
      <c r="O23" s="724"/>
      <c r="P23" s="291"/>
      <c r="Q23" s="729">
        <v>2336</v>
      </c>
      <c r="S23" s="293" t="s">
        <v>2992</v>
      </c>
      <c r="T23" s="461">
        <v>650</v>
      </c>
      <c r="U23" s="461">
        <v>696</v>
      </c>
      <c r="V23" s="461">
        <v>835</v>
      </c>
      <c r="W23" s="461">
        <v>965</v>
      </c>
      <c r="X23" s="461">
        <v>1076</v>
      </c>
      <c r="Y23" s="461">
        <v>1188</v>
      </c>
      <c r="Z23" s="294"/>
      <c r="AB23" s="317">
        <v>3</v>
      </c>
      <c r="AC23" s="318" t="e">
        <f>VLOOKUP(AC19,AB8:AH17,5,FALSE)</f>
        <v>#N/A</v>
      </c>
      <c r="AD23" s="319">
        <v>3</v>
      </c>
      <c r="AE23" s="320" t="e">
        <f>VLOOKUP(AE19,$AB$8:$AH$17,5,FALSE)</f>
        <v>#N/A</v>
      </c>
      <c r="AF23" s="321">
        <v>3</v>
      </c>
      <c r="AG23" s="322" t="e">
        <f>VLOOKUP(AG19,$AB$8:$AH$17,5,FALSE)</f>
        <v>#N/A</v>
      </c>
      <c r="AH23" s="323">
        <v>3</v>
      </c>
      <c r="AI23" s="324" t="e">
        <f>VLOOKUP(AI19,$AB$8:$AH$17,5,FALSE)</f>
        <v>#N/A</v>
      </c>
      <c r="AK23" s="299" t="s">
        <v>2993</v>
      </c>
    </row>
    <row r="24" spans="1:37" ht="15" x14ac:dyDescent="0.25">
      <c r="A24" s="944">
        <v>39003011900</v>
      </c>
      <c r="B24" s="239" t="s">
        <v>42</v>
      </c>
      <c r="C24" s="286" t="s">
        <v>2975</v>
      </c>
      <c r="D24" s="865" t="s">
        <v>2975</v>
      </c>
      <c r="E24" s="287" t="s">
        <v>3566</v>
      </c>
      <c r="F24" s="287" t="s">
        <v>3559</v>
      </c>
      <c r="G24" s="288" t="s">
        <v>3569</v>
      </c>
      <c r="H24" s="287">
        <v>43013</v>
      </c>
      <c r="I24" s="287" t="s">
        <v>2975</v>
      </c>
      <c r="J24" s="759" t="s">
        <v>5188</v>
      </c>
      <c r="L24" s="290" t="s">
        <v>2993</v>
      </c>
      <c r="M24" s="958">
        <v>0</v>
      </c>
      <c r="N24" s="724"/>
      <c r="O24" s="724"/>
      <c r="P24" s="291"/>
      <c r="Q24" s="729">
        <v>2336</v>
      </c>
      <c r="S24" s="293" t="s">
        <v>2993</v>
      </c>
      <c r="T24" s="461">
        <v>687</v>
      </c>
      <c r="U24" s="461">
        <v>736</v>
      </c>
      <c r="V24" s="461">
        <v>883</v>
      </c>
      <c r="W24" s="461">
        <v>1020</v>
      </c>
      <c r="X24" s="461">
        <v>1138</v>
      </c>
      <c r="Y24" s="461">
        <v>1256</v>
      </c>
      <c r="Z24" s="294"/>
      <c r="AB24" s="317">
        <v>4</v>
      </c>
      <c r="AC24" s="318" t="e">
        <f>VLOOKUP(AC19,AB8:AH17,6,FALSE)</f>
        <v>#N/A</v>
      </c>
      <c r="AD24" s="319">
        <v>4</v>
      </c>
      <c r="AE24" s="320" t="e">
        <f>VLOOKUP(AE19,$AB$8:$AH$17,6,FALSE)</f>
        <v>#N/A</v>
      </c>
      <c r="AF24" s="321">
        <v>4</v>
      </c>
      <c r="AG24" s="322" t="e">
        <f>VLOOKUP(AG19,$AB$8:$AH$17,6,FALSE)</f>
        <v>#N/A</v>
      </c>
      <c r="AH24" s="323">
        <v>4</v>
      </c>
      <c r="AI24" s="324" t="e">
        <f>VLOOKUP(AI19,$AB$8:$AH$17,6,FALSE)</f>
        <v>#N/A</v>
      </c>
      <c r="AK24" s="299" t="s">
        <v>2994</v>
      </c>
    </row>
    <row r="25" spans="1:37" ht="15" x14ac:dyDescent="0.25">
      <c r="A25" s="944">
        <v>39003012000</v>
      </c>
      <c r="B25" s="239" t="s">
        <v>43</v>
      </c>
      <c r="C25" s="286" t="s">
        <v>2975</v>
      </c>
      <c r="D25" s="865" t="s">
        <v>2975</v>
      </c>
      <c r="E25" s="287" t="s">
        <v>3562</v>
      </c>
      <c r="F25" s="287" t="s">
        <v>3565</v>
      </c>
      <c r="G25" s="288" t="s">
        <v>3569</v>
      </c>
      <c r="H25" s="287">
        <v>43014</v>
      </c>
      <c r="I25" s="287" t="s">
        <v>2975</v>
      </c>
      <c r="J25" s="759"/>
      <c r="L25" s="290" t="s">
        <v>2994</v>
      </c>
      <c r="M25" s="958">
        <v>0.3</v>
      </c>
      <c r="N25" s="724"/>
      <c r="O25" s="724"/>
      <c r="P25" s="291"/>
      <c r="Q25" s="729">
        <v>2336</v>
      </c>
      <c r="S25" s="293" t="s">
        <v>2994</v>
      </c>
      <c r="T25" s="461">
        <v>820</v>
      </c>
      <c r="U25" s="461">
        <v>878</v>
      </c>
      <c r="V25" s="461">
        <v>1055</v>
      </c>
      <c r="W25" s="461">
        <v>1218</v>
      </c>
      <c r="X25" s="461">
        <v>1358</v>
      </c>
      <c r="Y25" s="461">
        <v>1499</v>
      </c>
      <c r="Z25" s="294"/>
      <c r="AB25" s="325">
        <v>5</v>
      </c>
      <c r="AC25" s="326" t="e">
        <f>VLOOKUP(AC19,AB8:AH17,7,FALSE)</f>
        <v>#N/A</v>
      </c>
      <c r="AD25" s="327">
        <v>5</v>
      </c>
      <c r="AE25" s="328" t="e">
        <f>VLOOKUP(AE19,$AB$8:$AH$17,7,FALSE)</f>
        <v>#N/A</v>
      </c>
      <c r="AF25" s="329">
        <v>5</v>
      </c>
      <c r="AG25" s="330" t="e">
        <f>VLOOKUP(AG19,$AB$8:$AH$17,7,FALSE)</f>
        <v>#N/A</v>
      </c>
      <c r="AH25" s="331">
        <v>5</v>
      </c>
      <c r="AI25" s="332" t="e">
        <f>VLOOKUP(AI19,$AB$8:$AH$17,7,FALSE)</f>
        <v>#N/A</v>
      </c>
      <c r="AK25" s="299" t="s">
        <v>2995</v>
      </c>
    </row>
    <row r="26" spans="1:37" x14ac:dyDescent="0.2">
      <c r="A26" s="944">
        <v>39003012100</v>
      </c>
      <c r="B26" s="239" t="s">
        <v>44</v>
      </c>
      <c r="C26" s="286" t="s">
        <v>2975</v>
      </c>
      <c r="D26" s="865" t="s">
        <v>2975</v>
      </c>
      <c r="E26" s="287" t="s">
        <v>3562</v>
      </c>
      <c r="F26" s="287" t="s">
        <v>3565</v>
      </c>
      <c r="G26" s="288" t="s">
        <v>3568</v>
      </c>
      <c r="H26" s="287">
        <v>43015</v>
      </c>
      <c r="I26" s="287" t="s">
        <v>2975</v>
      </c>
      <c r="J26" s="759"/>
      <c r="L26" s="290" t="s">
        <v>2995</v>
      </c>
      <c r="M26" s="958">
        <v>0</v>
      </c>
      <c r="N26" s="724"/>
      <c r="O26" s="724"/>
      <c r="P26" s="291"/>
      <c r="Q26" s="729">
        <v>2336</v>
      </c>
      <c r="S26" s="293" t="s">
        <v>2995</v>
      </c>
      <c r="T26" s="461">
        <v>686</v>
      </c>
      <c r="U26" s="461">
        <v>735</v>
      </c>
      <c r="V26" s="461">
        <v>881</v>
      </c>
      <c r="W26" s="461">
        <v>1018</v>
      </c>
      <c r="X26" s="461">
        <v>1136</v>
      </c>
      <c r="Y26" s="461">
        <v>1253</v>
      </c>
      <c r="Z26" s="294"/>
      <c r="AB26" s="333"/>
      <c r="AC26" s="333"/>
      <c r="AD26" s="333"/>
      <c r="AE26" s="333"/>
      <c r="AF26" s="333"/>
      <c r="AG26" s="333"/>
      <c r="AH26" s="333"/>
      <c r="AI26" s="333"/>
      <c r="AK26" s="299" t="s">
        <v>2996</v>
      </c>
    </row>
    <row r="27" spans="1:37" ht="15" x14ac:dyDescent="0.25">
      <c r="A27" s="944">
        <v>39003012200</v>
      </c>
      <c r="B27" s="239" t="s">
        <v>45</v>
      </c>
      <c r="C27" s="286" t="s">
        <v>4330</v>
      </c>
      <c r="D27" s="865" t="s">
        <v>2975</v>
      </c>
      <c r="E27" s="287" t="s">
        <v>3564</v>
      </c>
      <c r="F27" s="287" t="s">
        <v>5176</v>
      </c>
      <c r="G27" s="288" t="s">
        <v>3569</v>
      </c>
      <c r="H27" s="287">
        <v>43016</v>
      </c>
      <c r="I27" s="287" t="s">
        <v>2975</v>
      </c>
      <c r="J27" s="757" t="s">
        <v>3602</v>
      </c>
      <c r="K27" s="272"/>
      <c r="L27" s="290" t="s">
        <v>2996</v>
      </c>
      <c r="M27" s="958">
        <v>0</v>
      </c>
      <c r="N27" s="724"/>
      <c r="O27" s="724"/>
      <c r="P27" s="291"/>
      <c r="Q27" s="729">
        <v>2336</v>
      </c>
      <c r="S27" s="293" t="s">
        <v>2996</v>
      </c>
      <c r="T27" s="461">
        <v>820</v>
      </c>
      <c r="U27" s="461">
        <v>878</v>
      </c>
      <c r="V27" s="461">
        <v>1055</v>
      </c>
      <c r="W27" s="461">
        <v>1218</v>
      </c>
      <c r="X27" s="461">
        <v>1358</v>
      </c>
      <c r="Y27" s="461">
        <v>1499</v>
      </c>
      <c r="Z27" s="294"/>
      <c r="AB27" s="309" t="s">
        <v>3193</v>
      </c>
      <c r="AC27" s="310">
        <f>'Budget &amp; Costs'!G13</f>
        <v>0</v>
      </c>
      <c r="AD27" s="311" t="s">
        <v>3194</v>
      </c>
      <c r="AE27" s="312">
        <f>'Budget &amp; Costs'!G14</f>
        <v>0</v>
      </c>
      <c r="AF27" s="313" t="s">
        <v>3195</v>
      </c>
      <c r="AG27" s="314">
        <f>'Budget &amp; Costs'!G15</f>
        <v>0</v>
      </c>
      <c r="AH27" s="315" t="s">
        <v>3196</v>
      </c>
      <c r="AI27" s="316">
        <f>'Budget &amp; Costs'!G16</f>
        <v>0</v>
      </c>
      <c r="AK27" s="299" t="s">
        <v>2997</v>
      </c>
    </row>
    <row r="28" spans="1:37" ht="15" x14ac:dyDescent="0.25">
      <c r="A28" s="944">
        <v>39003012300</v>
      </c>
      <c r="B28" s="239" t="s">
        <v>46</v>
      </c>
      <c r="C28" s="286" t="s">
        <v>2975</v>
      </c>
      <c r="D28" s="865" t="s">
        <v>2975</v>
      </c>
      <c r="E28" s="287" t="s">
        <v>3563</v>
      </c>
      <c r="F28" s="287" t="s">
        <v>3558</v>
      </c>
      <c r="G28" s="288" t="s">
        <v>3553</v>
      </c>
      <c r="H28" s="287">
        <v>43017</v>
      </c>
      <c r="I28" s="287" t="s">
        <v>2975</v>
      </c>
      <c r="J28" s="759" t="s">
        <v>3600</v>
      </c>
      <c r="L28" s="290" t="s">
        <v>2997</v>
      </c>
      <c r="M28" s="958">
        <v>1.74</v>
      </c>
      <c r="N28" s="724"/>
      <c r="O28" s="724"/>
      <c r="P28" s="291"/>
      <c r="Q28" s="729">
        <v>2336</v>
      </c>
      <c r="S28" s="293" t="s">
        <v>2997</v>
      </c>
      <c r="T28" s="461">
        <v>648</v>
      </c>
      <c r="U28" s="461">
        <v>695</v>
      </c>
      <c r="V28" s="461">
        <v>833</v>
      </c>
      <c r="W28" s="461">
        <v>963</v>
      </c>
      <c r="X28" s="461">
        <v>1075</v>
      </c>
      <c r="Y28" s="461">
        <v>1186</v>
      </c>
      <c r="Z28" s="294"/>
      <c r="AB28" s="317">
        <v>0</v>
      </c>
      <c r="AC28" s="334" t="e">
        <f>VLOOKUP(AC27,$AB$8:$AH$17,2,FALSE)</f>
        <v>#N/A</v>
      </c>
      <c r="AD28" s="319">
        <v>0</v>
      </c>
      <c r="AE28" s="320" t="e">
        <f>VLOOKUP(AE27,$AB$8:$AH$17,2,FALSE)</f>
        <v>#N/A</v>
      </c>
      <c r="AF28" s="321">
        <v>0</v>
      </c>
      <c r="AG28" s="322" t="e">
        <f>VLOOKUP(AG27,$AB$8:$AH$17,2,FALSE)</f>
        <v>#N/A</v>
      </c>
      <c r="AH28" s="323">
        <v>0</v>
      </c>
      <c r="AI28" s="324" t="e">
        <f>VLOOKUP(AI27,$AB$8:$AH$17,2,FALSE)</f>
        <v>#N/A</v>
      </c>
      <c r="AK28" s="299" t="s">
        <v>2998</v>
      </c>
    </row>
    <row r="29" spans="1:37" ht="15" x14ac:dyDescent="0.25">
      <c r="A29" s="944">
        <v>39003012400</v>
      </c>
      <c r="B29" s="239" t="s">
        <v>47</v>
      </c>
      <c r="C29" s="286" t="s">
        <v>4330</v>
      </c>
      <c r="D29" s="865" t="s">
        <v>4330</v>
      </c>
      <c r="E29" s="287" t="s">
        <v>3563</v>
      </c>
      <c r="F29" s="287" t="s">
        <v>5177</v>
      </c>
      <c r="G29" s="288" t="s">
        <v>3553</v>
      </c>
      <c r="H29" s="287">
        <v>43019</v>
      </c>
      <c r="I29" s="287" t="s">
        <v>2975</v>
      </c>
      <c r="J29" s="759" t="s">
        <v>3601</v>
      </c>
      <c r="L29" s="290" t="s">
        <v>2998</v>
      </c>
      <c r="M29" s="958">
        <v>1.45</v>
      </c>
      <c r="N29" s="724"/>
      <c r="O29" s="724"/>
      <c r="P29" s="291"/>
      <c r="Q29" s="729">
        <v>1365</v>
      </c>
      <c r="S29" s="293" t="s">
        <v>2998</v>
      </c>
      <c r="T29" s="461">
        <v>820</v>
      </c>
      <c r="U29" s="461">
        <v>878</v>
      </c>
      <c r="V29" s="461">
        <v>1055</v>
      </c>
      <c r="W29" s="461">
        <v>1218</v>
      </c>
      <c r="X29" s="461">
        <v>1358</v>
      </c>
      <c r="Y29" s="461">
        <v>1499</v>
      </c>
      <c r="Z29" s="294"/>
      <c r="AB29" s="317">
        <v>1</v>
      </c>
      <c r="AC29" s="334" t="e">
        <f>VLOOKUP(AC27,$AB$8:$AH$17,3,FALSE)</f>
        <v>#N/A</v>
      </c>
      <c r="AD29" s="319">
        <v>1</v>
      </c>
      <c r="AE29" s="320" t="e">
        <f>VLOOKUP(AE27,$AB$8:$AH$17,3,FALSE)</f>
        <v>#N/A</v>
      </c>
      <c r="AF29" s="321">
        <v>1</v>
      </c>
      <c r="AG29" s="322" t="e">
        <f>VLOOKUP(AG27,$AB$8:$AH$17,3,FALSE)</f>
        <v>#N/A</v>
      </c>
      <c r="AH29" s="323">
        <v>1</v>
      </c>
      <c r="AI29" s="324" t="e">
        <f>VLOOKUP(AI27,$AB$8:$AH$17,3,FALSE)</f>
        <v>#N/A</v>
      </c>
      <c r="AK29" s="299" t="s">
        <v>2999</v>
      </c>
    </row>
    <row r="30" spans="1:37" ht="15" x14ac:dyDescent="0.25">
      <c r="A30" s="944">
        <v>39003012600</v>
      </c>
      <c r="B30" s="239" t="s">
        <v>48</v>
      </c>
      <c r="C30" s="286" t="s">
        <v>2975</v>
      </c>
      <c r="D30" s="865" t="s">
        <v>2975</v>
      </c>
      <c r="E30" s="287" t="s">
        <v>3563</v>
      </c>
      <c r="F30" s="287" t="s">
        <v>5177</v>
      </c>
      <c r="G30" s="288" t="s">
        <v>3553</v>
      </c>
      <c r="H30" s="287">
        <v>43022</v>
      </c>
      <c r="I30" s="287" t="s">
        <v>2975</v>
      </c>
      <c r="J30" s="758" t="s">
        <v>4367</v>
      </c>
      <c r="L30" s="290" t="s">
        <v>2999</v>
      </c>
      <c r="M30" s="958">
        <v>0.75</v>
      </c>
      <c r="N30" s="724"/>
      <c r="O30" s="724"/>
      <c r="P30" s="291"/>
      <c r="Q30" s="729">
        <v>2336</v>
      </c>
      <c r="S30" s="293" t="s">
        <v>2999</v>
      </c>
      <c r="T30" s="461">
        <v>681</v>
      </c>
      <c r="U30" s="461">
        <v>730</v>
      </c>
      <c r="V30" s="461">
        <v>876</v>
      </c>
      <c r="W30" s="461">
        <v>1011</v>
      </c>
      <c r="X30" s="461">
        <v>1128</v>
      </c>
      <c r="Y30" s="461">
        <v>1245</v>
      </c>
      <c r="Z30" s="294"/>
      <c r="AB30" s="317">
        <v>2</v>
      </c>
      <c r="AC30" s="334" t="e">
        <f>VLOOKUP(AC27,$AB$8:$AH$17,4,FALSE)</f>
        <v>#N/A</v>
      </c>
      <c r="AD30" s="319">
        <v>2</v>
      </c>
      <c r="AE30" s="320" t="e">
        <f>VLOOKUP(AE27,$AB$8:$AH$17,4,FALSE)</f>
        <v>#N/A</v>
      </c>
      <c r="AF30" s="321">
        <v>2</v>
      </c>
      <c r="AG30" s="322" t="e">
        <f>VLOOKUP(AG27,$AB$8:$AH$17,4,FALSE)</f>
        <v>#N/A</v>
      </c>
      <c r="AH30" s="323">
        <v>2</v>
      </c>
      <c r="AI30" s="324" t="e">
        <f>VLOOKUP(AI27,$AB$8:$AH$17,4,FALSE)</f>
        <v>#N/A</v>
      </c>
      <c r="AK30" s="299" t="s">
        <v>3000</v>
      </c>
    </row>
    <row r="31" spans="1:37" ht="15" x14ac:dyDescent="0.25">
      <c r="A31" s="944">
        <v>39003012700</v>
      </c>
      <c r="B31" s="239" t="s">
        <v>49</v>
      </c>
      <c r="C31" s="286" t="s">
        <v>4330</v>
      </c>
      <c r="D31" s="865" t="s">
        <v>4330</v>
      </c>
      <c r="E31" s="287" t="s">
        <v>3564</v>
      </c>
      <c r="F31" s="287" t="s">
        <v>3558</v>
      </c>
      <c r="G31" s="288" t="s">
        <v>3553</v>
      </c>
      <c r="H31" s="287">
        <v>43023</v>
      </c>
      <c r="I31" s="287" t="s">
        <v>2975</v>
      </c>
      <c r="J31" s="757" t="s">
        <v>3609</v>
      </c>
      <c r="K31" s="272"/>
      <c r="L31" s="290" t="s">
        <v>3000</v>
      </c>
      <c r="M31" s="958">
        <v>1.34</v>
      </c>
      <c r="N31" s="724"/>
      <c r="O31" s="724"/>
      <c r="P31" s="291"/>
      <c r="Q31" s="729">
        <v>2336</v>
      </c>
      <c r="S31" s="293" t="s">
        <v>3000</v>
      </c>
      <c r="T31" s="461">
        <v>648</v>
      </c>
      <c r="U31" s="461">
        <v>695</v>
      </c>
      <c r="V31" s="461">
        <v>833</v>
      </c>
      <c r="W31" s="461">
        <v>963</v>
      </c>
      <c r="X31" s="461">
        <v>1075</v>
      </c>
      <c r="Y31" s="461">
        <v>1186</v>
      </c>
      <c r="Z31" s="294"/>
      <c r="AB31" s="317">
        <v>3</v>
      </c>
      <c r="AC31" s="334" t="e">
        <f>VLOOKUP(AC27,$AB$8:$AH$17,5,FALSE)</f>
        <v>#N/A</v>
      </c>
      <c r="AD31" s="319">
        <v>3</v>
      </c>
      <c r="AE31" s="320" t="e">
        <f>VLOOKUP(AE27,$AB$8:$AH$17,5,FALSE)</f>
        <v>#N/A</v>
      </c>
      <c r="AF31" s="321">
        <v>3</v>
      </c>
      <c r="AG31" s="322" t="e">
        <f>VLOOKUP(AG27,$AB$8:$AH$17,5,FALSE)</f>
        <v>#N/A</v>
      </c>
      <c r="AH31" s="323">
        <v>3</v>
      </c>
      <c r="AI31" s="324" t="e">
        <f>VLOOKUP(AI27,$AB$8:$AH$17,5,FALSE)</f>
        <v>#N/A</v>
      </c>
      <c r="AK31" s="299" t="s">
        <v>3001</v>
      </c>
    </row>
    <row r="32" spans="1:37" ht="15" x14ac:dyDescent="0.25">
      <c r="A32" s="944">
        <v>39003012900</v>
      </c>
      <c r="B32" s="239" t="s">
        <v>50</v>
      </c>
      <c r="C32" s="286" t="s">
        <v>4330</v>
      </c>
      <c r="D32" s="865" t="s">
        <v>4330</v>
      </c>
      <c r="E32" s="287" t="s">
        <v>3564</v>
      </c>
      <c r="F32" s="287" t="s">
        <v>3559</v>
      </c>
      <c r="G32" s="288" t="s">
        <v>3553</v>
      </c>
      <c r="H32" s="287">
        <v>43025</v>
      </c>
      <c r="I32" s="287" t="s">
        <v>2975</v>
      </c>
      <c r="J32" s="759" t="s">
        <v>3610</v>
      </c>
      <c r="L32" s="290" t="s">
        <v>3001</v>
      </c>
      <c r="M32" s="958">
        <v>0</v>
      </c>
      <c r="N32" s="724"/>
      <c r="O32" s="724"/>
      <c r="P32" s="291"/>
      <c r="Q32" s="729">
        <v>2336</v>
      </c>
      <c r="S32" s="293" t="s">
        <v>3001</v>
      </c>
      <c r="T32" s="461">
        <v>747</v>
      </c>
      <c r="U32" s="461">
        <v>801</v>
      </c>
      <c r="V32" s="461">
        <v>961</v>
      </c>
      <c r="W32" s="461">
        <v>1110</v>
      </c>
      <c r="X32" s="461">
        <v>1238</v>
      </c>
      <c r="Y32" s="461">
        <v>1366</v>
      </c>
      <c r="Z32" s="294"/>
      <c r="AB32" s="317">
        <v>4</v>
      </c>
      <c r="AC32" s="334" t="e">
        <f>VLOOKUP(AC27,$AB$8:$AH$17,6,FALSE)</f>
        <v>#N/A</v>
      </c>
      <c r="AD32" s="319">
        <v>4</v>
      </c>
      <c r="AE32" s="320" t="e">
        <f>VLOOKUP(AE27,$AB$8:$AH$17,6,FALSE)</f>
        <v>#N/A</v>
      </c>
      <c r="AF32" s="321">
        <v>4</v>
      </c>
      <c r="AG32" s="322" t="e">
        <f>VLOOKUP(AG27,$AB$8:$AH$17,6,FALSE)</f>
        <v>#N/A</v>
      </c>
      <c r="AH32" s="323">
        <v>4</v>
      </c>
      <c r="AI32" s="324" t="e">
        <f>VLOOKUP(AI27,$AB$8:$AH$17,6,FALSE)</f>
        <v>#N/A</v>
      </c>
      <c r="AK32" s="299" t="s">
        <v>3002</v>
      </c>
    </row>
    <row r="33" spans="1:37" ht="15" x14ac:dyDescent="0.25">
      <c r="A33" s="944">
        <v>39003013000</v>
      </c>
      <c r="B33" s="239" t="s">
        <v>51</v>
      </c>
      <c r="C33" s="286" t="s">
        <v>2975</v>
      </c>
      <c r="D33" s="865" t="s">
        <v>2975</v>
      </c>
      <c r="E33" s="287" t="s">
        <v>3563</v>
      </c>
      <c r="F33" s="287" t="s">
        <v>3558</v>
      </c>
      <c r="G33" s="288" t="s">
        <v>3553</v>
      </c>
      <c r="H33" s="287">
        <v>43026</v>
      </c>
      <c r="I33" s="287" t="s">
        <v>2975</v>
      </c>
      <c r="J33" s="759" t="s">
        <v>3611</v>
      </c>
      <c r="L33" s="290" t="s">
        <v>3002</v>
      </c>
      <c r="M33" s="958">
        <v>0.37</v>
      </c>
      <c r="N33" s="724"/>
      <c r="O33" s="724"/>
      <c r="P33" s="291"/>
      <c r="Q33" s="729">
        <v>2336</v>
      </c>
      <c r="S33" s="293" t="s">
        <v>3002</v>
      </c>
      <c r="T33" s="461">
        <v>736</v>
      </c>
      <c r="U33" s="461">
        <v>788</v>
      </c>
      <c r="V33" s="461">
        <v>946</v>
      </c>
      <c r="W33" s="461">
        <v>1093</v>
      </c>
      <c r="X33" s="461">
        <v>1220</v>
      </c>
      <c r="Y33" s="461">
        <v>1346</v>
      </c>
      <c r="Z33" s="294"/>
      <c r="AB33" s="325">
        <v>5</v>
      </c>
      <c r="AC33" s="335" t="e">
        <f>VLOOKUP(AC27,$AB$8:$AH$17,7,FALSE)</f>
        <v>#N/A</v>
      </c>
      <c r="AD33" s="327">
        <v>5</v>
      </c>
      <c r="AE33" s="328" t="e">
        <f>VLOOKUP(AE27,$AB$8:$AH$17,7,FALSE)</f>
        <v>#N/A</v>
      </c>
      <c r="AF33" s="329">
        <v>5</v>
      </c>
      <c r="AG33" s="330" t="e">
        <f>VLOOKUP(AG27,$AB$8:$AH$17,7,FALSE)</f>
        <v>#N/A</v>
      </c>
      <c r="AH33" s="331">
        <v>5</v>
      </c>
      <c r="AI33" s="332" t="e">
        <f>VLOOKUP(AI27,$AB$8:$AH$17,7,FALSE)</f>
        <v>#N/A</v>
      </c>
      <c r="AK33" s="299" t="s">
        <v>3003</v>
      </c>
    </row>
    <row r="34" spans="1:37" x14ac:dyDescent="0.2">
      <c r="A34" s="944">
        <v>39003013100</v>
      </c>
      <c r="B34" s="239" t="s">
        <v>52</v>
      </c>
      <c r="C34" s="286" t="s">
        <v>2975</v>
      </c>
      <c r="D34" s="865" t="s">
        <v>2975</v>
      </c>
      <c r="E34" s="287" t="s">
        <v>3566</v>
      </c>
      <c r="F34" s="287" t="s">
        <v>5177</v>
      </c>
      <c r="G34" s="288" t="s">
        <v>3569</v>
      </c>
      <c r="H34" s="287">
        <v>43028</v>
      </c>
      <c r="I34" s="287" t="s">
        <v>2975</v>
      </c>
      <c r="J34" s="759"/>
      <c r="L34" s="290" t="s">
        <v>3003</v>
      </c>
      <c r="M34" s="958">
        <v>0</v>
      </c>
      <c r="N34" s="724"/>
      <c r="O34" s="724"/>
      <c r="P34" s="291"/>
      <c r="Q34" s="729">
        <v>2336</v>
      </c>
      <c r="S34" s="293" t="s">
        <v>3003</v>
      </c>
      <c r="T34" s="461">
        <v>648</v>
      </c>
      <c r="U34" s="461">
        <v>695</v>
      </c>
      <c r="V34" s="461">
        <v>833</v>
      </c>
      <c r="W34" s="461">
        <v>963</v>
      </c>
      <c r="X34" s="461">
        <v>1075</v>
      </c>
      <c r="Y34" s="461">
        <v>1186</v>
      </c>
      <c r="Z34" s="294"/>
      <c r="AB34" s="333"/>
      <c r="AC34" s="333"/>
      <c r="AD34" s="333"/>
      <c r="AE34" s="333"/>
      <c r="AF34" s="333"/>
      <c r="AG34" s="333"/>
      <c r="AH34" s="333"/>
      <c r="AI34" s="333"/>
      <c r="AK34" s="299" t="s">
        <v>3004</v>
      </c>
    </row>
    <row r="35" spans="1:37" ht="15" x14ac:dyDescent="0.25">
      <c r="A35" s="944">
        <v>39003013200</v>
      </c>
      <c r="B35" s="239" t="s">
        <v>53</v>
      </c>
      <c r="C35" s="286" t="s">
        <v>2975</v>
      </c>
      <c r="D35" s="865" t="s">
        <v>2975</v>
      </c>
      <c r="E35" s="287" t="s">
        <v>3563</v>
      </c>
      <c r="F35" s="287" t="s">
        <v>3565</v>
      </c>
      <c r="G35" s="288" t="s">
        <v>3553</v>
      </c>
      <c r="H35" s="287">
        <v>43029</v>
      </c>
      <c r="I35" s="287" t="s">
        <v>2975</v>
      </c>
      <c r="J35" s="757" t="s">
        <v>3605</v>
      </c>
      <c r="K35" s="272"/>
      <c r="L35" s="290" t="s">
        <v>3004</v>
      </c>
      <c r="M35" s="958">
        <v>1.64</v>
      </c>
      <c r="N35" s="724"/>
      <c r="O35" s="724"/>
      <c r="P35" s="291"/>
      <c r="Q35" s="729">
        <v>1016</v>
      </c>
      <c r="S35" s="293" t="s">
        <v>3004</v>
      </c>
      <c r="T35" s="461">
        <v>836</v>
      </c>
      <c r="U35" s="461">
        <v>895</v>
      </c>
      <c r="V35" s="461">
        <v>1075</v>
      </c>
      <c r="W35" s="461">
        <v>1241</v>
      </c>
      <c r="X35" s="461">
        <v>1385</v>
      </c>
      <c r="Y35" s="461">
        <v>1528</v>
      </c>
      <c r="Z35" s="294"/>
      <c r="AB35" s="309" t="s">
        <v>3197</v>
      </c>
      <c r="AC35" s="310">
        <f>'Budget &amp; Costs'!G17</f>
        <v>0</v>
      </c>
      <c r="AD35" s="311" t="s">
        <v>3198</v>
      </c>
      <c r="AE35" s="312">
        <f>'Budget &amp; Costs'!G18</f>
        <v>0</v>
      </c>
      <c r="AF35" s="313" t="s">
        <v>3199</v>
      </c>
      <c r="AG35" s="314">
        <f>'Budget &amp; Costs'!G19</f>
        <v>0</v>
      </c>
      <c r="AH35" s="315" t="s">
        <v>3200</v>
      </c>
      <c r="AI35" s="316">
        <f>'Budget &amp; Costs'!G20</f>
        <v>0</v>
      </c>
      <c r="AK35" s="299" t="s">
        <v>3005</v>
      </c>
    </row>
    <row r="36" spans="1:37" ht="15" x14ac:dyDescent="0.25">
      <c r="A36" s="944">
        <v>39003013300</v>
      </c>
      <c r="B36" s="239" t="s">
        <v>54</v>
      </c>
      <c r="C36" s="286" t="s">
        <v>2975</v>
      </c>
      <c r="D36" s="865" t="s">
        <v>2975</v>
      </c>
      <c r="E36" s="287" t="s">
        <v>3563</v>
      </c>
      <c r="F36" s="287" t="s">
        <v>3559</v>
      </c>
      <c r="G36" s="288" t="s">
        <v>3553</v>
      </c>
      <c r="H36" s="287">
        <v>43030</v>
      </c>
      <c r="I36" s="287" t="s">
        <v>2975</v>
      </c>
      <c r="J36" s="759" t="s">
        <v>3603</v>
      </c>
      <c r="L36" s="290" t="s">
        <v>3005</v>
      </c>
      <c r="M36" s="958">
        <v>1.95</v>
      </c>
      <c r="N36" s="724"/>
      <c r="O36" s="724"/>
      <c r="P36" s="291"/>
      <c r="Q36" s="729">
        <v>2336</v>
      </c>
      <c r="S36" s="293" t="s">
        <v>3005</v>
      </c>
      <c r="T36" s="461">
        <v>767</v>
      </c>
      <c r="U36" s="461">
        <v>821</v>
      </c>
      <c r="V36" s="461">
        <v>986</v>
      </c>
      <c r="W36" s="461">
        <v>1139</v>
      </c>
      <c r="X36" s="461">
        <v>1271</v>
      </c>
      <c r="Y36" s="461">
        <v>1402</v>
      </c>
      <c r="Z36" s="294"/>
      <c r="AB36" s="317">
        <v>0</v>
      </c>
      <c r="AC36" s="334" t="e">
        <f>VLOOKUP(AC35,$AB$8:$AH$17,2,FALSE)</f>
        <v>#N/A</v>
      </c>
      <c r="AD36" s="319">
        <v>0</v>
      </c>
      <c r="AE36" s="320" t="e">
        <f>VLOOKUP(AE35,$AB$8:$AH$17,2,FALSE)</f>
        <v>#N/A</v>
      </c>
      <c r="AF36" s="321">
        <v>0</v>
      </c>
      <c r="AG36" s="322" t="e">
        <f>VLOOKUP(AG35,$AB$8:$AH$17,2,FALSE)</f>
        <v>#N/A</v>
      </c>
      <c r="AH36" s="323">
        <v>0</v>
      </c>
      <c r="AI36" s="324" t="e">
        <f>VLOOKUP(AI35,$AB$8:$AH$17,2,FALSE)</f>
        <v>#N/A</v>
      </c>
      <c r="AK36" s="299" t="s">
        <v>3006</v>
      </c>
    </row>
    <row r="37" spans="1:37" ht="15" x14ac:dyDescent="0.25">
      <c r="A37" s="944">
        <v>39003013400</v>
      </c>
      <c r="B37" s="239" t="s">
        <v>55</v>
      </c>
      <c r="C37" s="286" t="s">
        <v>4330</v>
      </c>
      <c r="D37" s="865" t="s">
        <v>4330</v>
      </c>
      <c r="E37" s="287" t="s">
        <v>3564</v>
      </c>
      <c r="F37" s="287" t="s">
        <v>5177</v>
      </c>
      <c r="G37" s="288" t="s">
        <v>3553</v>
      </c>
      <c r="H37" s="287">
        <v>43031</v>
      </c>
      <c r="I37" s="287" t="s">
        <v>2975</v>
      </c>
      <c r="J37" s="759" t="s">
        <v>3604</v>
      </c>
      <c r="L37" s="290" t="s">
        <v>3006</v>
      </c>
      <c r="M37" s="958">
        <v>0</v>
      </c>
      <c r="N37" s="724"/>
      <c r="O37" s="724"/>
      <c r="P37" s="291"/>
      <c r="Q37" s="729">
        <v>2336</v>
      </c>
      <c r="S37" s="293" t="s">
        <v>3006</v>
      </c>
      <c r="T37" s="461">
        <v>648</v>
      </c>
      <c r="U37" s="461">
        <v>695</v>
      </c>
      <c r="V37" s="461">
        <v>833</v>
      </c>
      <c r="W37" s="461">
        <v>963</v>
      </c>
      <c r="X37" s="461">
        <v>1075</v>
      </c>
      <c r="Y37" s="461">
        <v>1186</v>
      </c>
      <c r="Z37" s="294"/>
      <c r="AB37" s="317">
        <v>1</v>
      </c>
      <c r="AC37" s="334" t="e">
        <f>VLOOKUP(AC35,$AB$8:$AH$17,3,FALSE)</f>
        <v>#N/A</v>
      </c>
      <c r="AD37" s="319">
        <v>1</v>
      </c>
      <c r="AE37" s="320" t="e">
        <f>VLOOKUP(AE35,$AB$8:$AH$17,3,FALSE)</f>
        <v>#N/A</v>
      </c>
      <c r="AF37" s="321">
        <v>1</v>
      </c>
      <c r="AG37" s="322" t="e">
        <f>VLOOKUP(AG35,$AB$8:$AH$17,3,FALSE)</f>
        <v>#N/A</v>
      </c>
      <c r="AH37" s="323">
        <v>1</v>
      </c>
      <c r="AI37" s="324" t="e">
        <f>VLOOKUP(AI35,$AB$8:$AH$17,3,FALSE)</f>
        <v>#N/A</v>
      </c>
      <c r="AK37" s="299" t="s">
        <v>3007</v>
      </c>
    </row>
    <row r="38" spans="1:37" ht="15" x14ac:dyDescent="0.25">
      <c r="A38" s="944">
        <v>39003013600</v>
      </c>
      <c r="B38" s="239" t="s">
        <v>56</v>
      </c>
      <c r="C38" s="286" t="s">
        <v>4330</v>
      </c>
      <c r="D38" s="865" t="s">
        <v>4330</v>
      </c>
      <c r="E38" s="287" t="s">
        <v>3564</v>
      </c>
      <c r="F38" s="287" t="s">
        <v>3559</v>
      </c>
      <c r="G38" s="288" t="s">
        <v>3553</v>
      </c>
      <c r="H38" s="287">
        <v>43032</v>
      </c>
      <c r="I38" s="287" t="s">
        <v>2975</v>
      </c>
      <c r="J38" s="759"/>
      <c r="L38" s="290" t="s">
        <v>3007</v>
      </c>
      <c r="M38" s="958">
        <v>0</v>
      </c>
      <c r="N38" s="724"/>
      <c r="O38" s="724"/>
      <c r="P38" s="291"/>
      <c r="Q38" s="729">
        <v>2336</v>
      </c>
      <c r="S38" s="293" t="s">
        <v>3007</v>
      </c>
      <c r="T38" s="461">
        <v>648</v>
      </c>
      <c r="U38" s="461">
        <v>695</v>
      </c>
      <c r="V38" s="461">
        <v>833</v>
      </c>
      <c r="W38" s="461">
        <v>963</v>
      </c>
      <c r="X38" s="461">
        <v>1075</v>
      </c>
      <c r="Y38" s="461">
        <v>1186</v>
      </c>
      <c r="Z38" s="294"/>
      <c r="AB38" s="317">
        <v>2</v>
      </c>
      <c r="AC38" s="334" t="e">
        <f>VLOOKUP(AC35,$AB$8:$AH$17,4,FALSE)</f>
        <v>#N/A</v>
      </c>
      <c r="AD38" s="319">
        <v>2</v>
      </c>
      <c r="AE38" s="320" t="e">
        <f>VLOOKUP(AE35,$AB$8:$AH$17,4,FALSE)</f>
        <v>#N/A</v>
      </c>
      <c r="AF38" s="321">
        <v>2</v>
      </c>
      <c r="AG38" s="322" t="e">
        <f>VLOOKUP(AG35,$AB$8:$AH$17,4,FALSE)</f>
        <v>#N/A</v>
      </c>
      <c r="AH38" s="323">
        <v>2</v>
      </c>
      <c r="AI38" s="324" t="e">
        <f>VLOOKUP(AI35,$AB$8:$AH$17,4,FALSE)</f>
        <v>#N/A</v>
      </c>
      <c r="AK38" s="299" t="s">
        <v>3008</v>
      </c>
    </row>
    <row r="39" spans="1:37" ht="15" x14ac:dyDescent="0.25">
      <c r="A39" s="944">
        <v>39003013700</v>
      </c>
      <c r="B39" s="239" t="s">
        <v>57</v>
      </c>
      <c r="C39" s="286" t="s">
        <v>4330</v>
      </c>
      <c r="D39" s="865" t="s">
        <v>4330</v>
      </c>
      <c r="E39" s="287" t="s">
        <v>3564</v>
      </c>
      <c r="F39" s="287" t="s">
        <v>3565</v>
      </c>
      <c r="G39" s="288" t="s">
        <v>3553</v>
      </c>
      <c r="H39" s="287">
        <v>43033</v>
      </c>
      <c r="I39" s="287" t="s">
        <v>2975</v>
      </c>
      <c r="J39" s="757" t="s">
        <v>3606</v>
      </c>
      <c r="K39" s="272"/>
      <c r="L39" s="290" t="s">
        <v>3008</v>
      </c>
      <c r="M39" s="958">
        <v>1.83</v>
      </c>
      <c r="N39" s="724"/>
      <c r="O39" s="724"/>
      <c r="P39" s="291"/>
      <c r="Q39" s="729">
        <v>2336</v>
      </c>
      <c r="S39" s="293" t="s">
        <v>3008</v>
      </c>
      <c r="T39" s="461">
        <v>700</v>
      </c>
      <c r="U39" s="461">
        <v>750</v>
      </c>
      <c r="V39" s="461">
        <v>900</v>
      </c>
      <c r="W39" s="461">
        <v>1038</v>
      </c>
      <c r="X39" s="461">
        <v>1158</v>
      </c>
      <c r="Y39" s="461">
        <v>1278</v>
      </c>
      <c r="Z39" s="294"/>
      <c r="AB39" s="317">
        <v>3</v>
      </c>
      <c r="AC39" s="334" t="e">
        <f>VLOOKUP(AC35,$AB$8:$AH$17,5,FALSE)</f>
        <v>#N/A</v>
      </c>
      <c r="AD39" s="319">
        <v>3</v>
      </c>
      <c r="AE39" s="320" t="e">
        <f>VLOOKUP(AE35,$AB$8:$AH$17,5,FALSE)</f>
        <v>#N/A</v>
      </c>
      <c r="AF39" s="321">
        <v>3</v>
      </c>
      <c r="AG39" s="322" t="e">
        <f>VLOOKUP(AG35,$AB$8:$AH$17,5,FALSE)</f>
        <v>#N/A</v>
      </c>
      <c r="AH39" s="323">
        <v>3</v>
      </c>
      <c r="AI39" s="324" t="e">
        <f>VLOOKUP(AI35,$AB$8:$AH$17,5,FALSE)</f>
        <v>#N/A</v>
      </c>
      <c r="AK39" s="299" t="s">
        <v>3009</v>
      </c>
    </row>
    <row r="40" spans="1:37" ht="15" x14ac:dyDescent="0.25">
      <c r="A40" s="944">
        <v>39003013800</v>
      </c>
      <c r="B40" s="239" t="s">
        <v>58</v>
      </c>
      <c r="C40" s="286" t="s">
        <v>2975</v>
      </c>
      <c r="D40" s="865" t="s">
        <v>4330</v>
      </c>
      <c r="E40" s="287" t="s">
        <v>3557</v>
      </c>
      <c r="F40" s="287" t="s">
        <v>5177</v>
      </c>
      <c r="G40" s="288" t="s">
        <v>3569</v>
      </c>
      <c r="H40" s="287">
        <v>43035</v>
      </c>
      <c r="I40" s="287" t="s">
        <v>2975</v>
      </c>
      <c r="J40" s="759" t="s">
        <v>3607</v>
      </c>
      <c r="L40" s="290" t="s">
        <v>3009</v>
      </c>
      <c r="M40" s="958">
        <v>2.54</v>
      </c>
      <c r="N40" s="724"/>
      <c r="O40" s="724"/>
      <c r="P40" s="291"/>
      <c r="Q40" s="729">
        <v>2336</v>
      </c>
      <c r="S40" s="293" t="s">
        <v>3009</v>
      </c>
      <c r="T40" s="461">
        <v>648</v>
      </c>
      <c r="U40" s="461">
        <v>695</v>
      </c>
      <c r="V40" s="461">
        <v>833</v>
      </c>
      <c r="W40" s="461">
        <v>963</v>
      </c>
      <c r="X40" s="461">
        <v>1075</v>
      </c>
      <c r="Y40" s="461">
        <v>1186</v>
      </c>
      <c r="Z40" s="294"/>
      <c r="AB40" s="317">
        <v>4</v>
      </c>
      <c r="AC40" s="334" t="e">
        <f>VLOOKUP(AC35,$AB$8:$AH$17,6,FALSE)</f>
        <v>#N/A</v>
      </c>
      <c r="AD40" s="319">
        <v>4</v>
      </c>
      <c r="AE40" s="320" t="e">
        <f>VLOOKUP(AE35,$AB$8:$AH$17,6,FALSE)</f>
        <v>#N/A</v>
      </c>
      <c r="AF40" s="321">
        <v>4</v>
      </c>
      <c r="AG40" s="322" t="e">
        <f>VLOOKUP(AG35,$AB$8:$AH$17,6,FALSE)</f>
        <v>#N/A</v>
      </c>
      <c r="AH40" s="323">
        <v>4</v>
      </c>
      <c r="AI40" s="324" t="e">
        <f>VLOOKUP(AI35,$AB$8:$AH$17,6,FALSE)</f>
        <v>#N/A</v>
      </c>
      <c r="AK40" s="299" t="s">
        <v>3010</v>
      </c>
    </row>
    <row r="41" spans="1:37" ht="15" x14ac:dyDescent="0.25">
      <c r="A41" s="944">
        <v>39003013900</v>
      </c>
      <c r="B41" s="239" t="s">
        <v>59</v>
      </c>
      <c r="C41" s="286" t="s">
        <v>2975</v>
      </c>
      <c r="D41" s="865" t="s">
        <v>2975</v>
      </c>
      <c r="E41" s="287" t="s">
        <v>3563</v>
      </c>
      <c r="F41" s="287" t="s">
        <v>3558</v>
      </c>
      <c r="G41" s="288" t="s">
        <v>3568</v>
      </c>
      <c r="H41" s="287">
        <v>43036</v>
      </c>
      <c r="I41" s="287" t="s">
        <v>2975</v>
      </c>
      <c r="J41" s="759" t="s">
        <v>3608</v>
      </c>
      <c r="L41" s="290" t="s">
        <v>3010</v>
      </c>
      <c r="M41" s="958">
        <v>0</v>
      </c>
      <c r="N41" s="724"/>
      <c r="O41" s="724"/>
      <c r="P41" s="291"/>
      <c r="Q41" s="729">
        <v>2336</v>
      </c>
      <c r="S41" s="293" t="s">
        <v>3010</v>
      </c>
      <c r="T41" s="461">
        <v>650</v>
      </c>
      <c r="U41" s="461">
        <v>696</v>
      </c>
      <c r="V41" s="461">
        <v>835</v>
      </c>
      <c r="W41" s="461">
        <v>965</v>
      </c>
      <c r="X41" s="461">
        <v>1076</v>
      </c>
      <c r="Y41" s="461">
        <v>1188</v>
      </c>
      <c r="Z41" s="294"/>
      <c r="AB41" s="325">
        <v>5</v>
      </c>
      <c r="AC41" s="335" t="e">
        <f>VLOOKUP(AC35,$AB$8:$AH$17,7,FALSE)</f>
        <v>#N/A</v>
      </c>
      <c r="AD41" s="327">
        <v>5</v>
      </c>
      <c r="AE41" s="328" t="e">
        <f>VLOOKUP(AE35,$AB$8:$AH$17,7,FALSE)</f>
        <v>#N/A</v>
      </c>
      <c r="AF41" s="329">
        <v>5</v>
      </c>
      <c r="AG41" s="330" t="e">
        <f>VLOOKUP(AG35,$AB$8:$AH$17,7,FALSE)</f>
        <v>#N/A</v>
      </c>
      <c r="AH41" s="331">
        <v>5</v>
      </c>
      <c r="AI41" s="332" t="e">
        <f>VLOOKUP(AI35,$AB$8:$AH$17,7,FALSE)</f>
        <v>#N/A</v>
      </c>
      <c r="AK41" s="299" t="s">
        <v>3011</v>
      </c>
    </row>
    <row r="42" spans="1:37" x14ac:dyDescent="0.2">
      <c r="A42" s="944">
        <v>39003014000</v>
      </c>
      <c r="B42" s="239" t="s">
        <v>60</v>
      </c>
      <c r="C42" s="286" t="s">
        <v>2975</v>
      </c>
      <c r="D42" s="865" t="s">
        <v>2975</v>
      </c>
      <c r="E42" s="287" t="s">
        <v>3563</v>
      </c>
      <c r="F42" s="287" t="s">
        <v>3565</v>
      </c>
      <c r="G42" s="288" t="s">
        <v>3568</v>
      </c>
      <c r="H42" s="287">
        <v>43037</v>
      </c>
      <c r="I42" s="287" t="s">
        <v>2975</v>
      </c>
      <c r="J42" s="759"/>
      <c r="L42" s="290" t="s">
        <v>3011</v>
      </c>
      <c r="M42" s="958">
        <v>0</v>
      </c>
      <c r="N42" s="724"/>
      <c r="O42" s="724"/>
      <c r="P42" s="291"/>
      <c r="Q42" s="729">
        <v>2336</v>
      </c>
      <c r="S42" s="293" t="s">
        <v>3011</v>
      </c>
      <c r="T42" s="461">
        <v>695</v>
      </c>
      <c r="U42" s="461">
        <v>744</v>
      </c>
      <c r="V42" s="461">
        <v>892</v>
      </c>
      <c r="W42" s="461">
        <v>1031</v>
      </c>
      <c r="X42" s="461">
        <v>1150</v>
      </c>
      <c r="Y42" s="461">
        <v>1269</v>
      </c>
      <c r="Z42" s="294"/>
      <c r="AB42" s="333"/>
      <c r="AC42" s="333"/>
      <c r="AD42" s="333"/>
      <c r="AE42" s="333"/>
      <c r="AF42" s="333"/>
      <c r="AG42" s="333"/>
      <c r="AH42" s="333"/>
      <c r="AI42" s="333"/>
      <c r="AK42" s="299" t="s">
        <v>3012</v>
      </c>
    </row>
    <row r="43" spans="1:37" ht="15" x14ac:dyDescent="0.25">
      <c r="A43" s="944">
        <v>39003014100</v>
      </c>
      <c r="B43" s="239" t="s">
        <v>61</v>
      </c>
      <c r="C43" s="286" t="s">
        <v>4330</v>
      </c>
      <c r="D43" s="865" t="s">
        <v>4330</v>
      </c>
      <c r="E43" s="287" t="s">
        <v>3566</v>
      </c>
      <c r="F43" s="287" t="s">
        <v>5177</v>
      </c>
      <c r="G43" s="288" t="s">
        <v>3553</v>
      </c>
      <c r="H43" s="287">
        <v>43040</v>
      </c>
      <c r="I43" s="287" t="s">
        <v>2975</v>
      </c>
      <c r="J43" s="757" t="s">
        <v>4511</v>
      </c>
      <c r="K43" s="272"/>
      <c r="L43" s="290" t="s">
        <v>3012</v>
      </c>
      <c r="M43" s="958">
        <v>0</v>
      </c>
      <c r="N43" s="724"/>
      <c r="O43" s="724"/>
      <c r="P43" s="291"/>
      <c r="Q43" s="729">
        <v>2336</v>
      </c>
      <c r="S43" s="293" t="s">
        <v>3012</v>
      </c>
      <c r="T43" s="461">
        <v>648</v>
      </c>
      <c r="U43" s="461">
        <v>695</v>
      </c>
      <c r="V43" s="461">
        <v>833</v>
      </c>
      <c r="W43" s="461">
        <v>963</v>
      </c>
      <c r="X43" s="461">
        <v>1075</v>
      </c>
      <c r="Y43" s="461">
        <v>1186</v>
      </c>
      <c r="Z43" s="294"/>
      <c r="AB43" s="309" t="s">
        <v>3201</v>
      </c>
      <c r="AC43" s="310">
        <f>'Budget &amp; Costs'!G21</f>
        <v>0</v>
      </c>
      <c r="AD43" s="311" t="s">
        <v>3202</v>
      </c>
      <c r="AE43" s="312">
        <f>'Budget &amp; Costs'!G22</f>
        <v>0</v>
      </c>
      <c r="AF43" s="313" t="s">
        <v>3203</v>
      </c>
      <c r="AG43" s="314">
        <f>'Budget &amp; Costs'!G23</f>
        <v>0</v>
      </c>
      <c r="AH43" s="315" t="s">
        <v>3204</v>
      </c>
      <c r="AI43" s="316">
        <f>'Budget &amp; Costs'!G24</f>
        <v>0</v>
      </c>
      <c r="AK43" s="299" t="s">
        <v>3013</v>
      </c>
    </row>
    <row r="44" spans="1:37" ht="15" x14ac:dyDescent="0.25">
      <c r="A44" s="944">
        <v>39005970100</v>
      </c>
      <c r="B44" s="239" t="s">
        <v>62</v>
      </c>
      <c r="C44" s="286" t="s">
        <v>2975</v>
      </c>
      <c r="D44" s="865" t="s">
        <v>2975</v>
      </c>
      <c r="E44" s="287" t="s">
        <v>3557</v>
      </c>
      <c r="F44" s="287" t="s">
        <v>3559</v>
      </c>
      <c r="G44" s="288" t="s">
        <v>3568</v>
      </c>
      <c r="H44" s="287">
        <v>43044</v>
      </c>
      <c r="I44" s="287" t="s">
        <v>2975</v>
      </c>
      <c r="J44" s="760" t="s">
        <v>3890</v>
      </c>
      <c r="K44" s="5"/>
      <c r="L44" s="290" t="s">
        <v>3013</v>
      </c>
      <c r="M44" s="958">
        <v>0</v>
      </c>
      <c r="N44" s="724"/>
      <c r="O44" s="724"/>
      <c r="P44" s="291"/>
      <c r="Q44" s="729">
        <v>2336</v>
      </c>
      <c r="S44" s="293" t="s">
        <v>3013</v>
      </c>
      <c r="T44" s="461">
        <v>648</v>
      </c>
      <c r="U44" s="461">
        <v>695</v>
      </c>
      <c r="V44" s="461">
        <v>833</v>
      </c>
      <c r="W44" s="461">
        <v>963</v>
      </c>
      <c r="X44" s="461">
        <v>1075</v>
      </c>
      <c r="Y44" s="461">
        <v>1186</v>
      </c>
      <c r="Z44" s="294"/>
      <c r="AB44" s="317">
        <v>0</v>
      </c>
      <c r="AC44" s="334" t="e">
        <f>VLOOKUP(AC43,$AB$8:$AH$17,2,FALSE)</f>
        <v>#N/A</v>
      </c>
      <c r="AD44" s="319">
        <v>0</v>
      </c>
      <c r="AE44" s="320" t="e">
        <f>VLOOKUP(AE43,$AB$8:$AH$17,2,FALSE)</f>
        <v>#N/A</v>
      </c>
      <c r="AF44" s="321">
        <v>0</v>
      </c>
      <c r="AG44" s="322" t="e">
        <f>VLOOKUP(AG43,$AB$8:$AH$17,2,FALSE)</f>
        <v>#N/A</v>
      </c>
      <c r="AH44" s="323">
        <v>0</v>
      </c>
      <c r="AI44" s="324" t="e">
        <f>VLOOKUP(AI43,$AB$8:$AH$17,2,FALSE)</f>
        <v>#N/A</v>
      </c>
      <c r="AK44" s="299" t="s">
        <v>3014</v>
      </c>
    </row>
    <row r="45" spans="1:37" ht="15" x14ac:dyDescent="0.25">
      <c r="A45" s="944">
        <v>39005970200</v>
      </c>
      <c r="B45" s="239" t="s">
        <v>63</v>
      </c>
      <c r="C45" s="286" t="s">
        <v>2975</v>
      </c>
      <c r="D45" s="865" t="s">
        <v>2975</v>
      </c>
      <c r="E45" s="287" t="s">
        <v>3564</v>
      </c>
      <c r="F45" s="287" t="s">
        <v>5176</v>
      </c>
      <c r="G45" s="288" t="s">
        <v>3568</v>
      </c>
      <c r="H45" s="287">
        <v>43045</v>
      </c>
      <c r="I45" s="287" t="s">
        <v>2975</v>
      </c>
      <c r="J45" s="760" t="s">
        <v>3889</v>
      </c>
      <c r="K45" s="5"/>
      <c r="L45" s="290" t="s">
        <v>3014</v>
      </c>
      <c r="M45" s="958">
        <v>0.95</v>
      </c>
      <c r="N45" s="724"/>
      <c r="O45" s="724"/>
      <c r="P45" s="291"/>
      <c r="Q45" s="729">
        <v>2336</v>
      </c>
      <c r="S45" s="293" t="s">
        <v>3014</v>
      </c>
      <c r="T45" s="461">
        <v>648</v>
      </c>
      <c r="U45" s="461">
        <v>695</v>
      </c>
      <c r="V45" s="461">
        <v>833</v>
      </c>
      <c r="W45" s="461">
        <v>963</v>
      </c>
      <c r="X45" s="461">
        <v>1075</v>
      </c>
      <c r="Y45" s="461">
        <v>1186</v>
      </c>
      <c r="Z45" s="294"/>
      <c r="AB45" s="317">
        <v>1</v>
      </c>
      <c r="AC45" s="334" t="e">
        <f>VLOOKUP(AC43,$AB$8:$AH$17,3,FALSE)</f>
        <v>#N/A</v>
      </c>
      <c r="AD45" s="319">
        <v>1</v>
      </c>
      <c r="AE45" s="320" t="e">
        <f>VLOOKUP(AE43,$AB$8:$AH$17,3,FALSE)</f>
        <v>#N/A</v>
      </c>
      <c r="AF45" s="321">
        <v>1</v>
      </c>
      <c r="AG45" s="322" t="e">
        <f>VLOOKUP(AG43,$AB$8:$AH$17,3,FALSE)</f>
        <v>#N/A</v>
      </c>
      <c r="AH45" s="323">
        <v>1</v>
      </c>
      <c r="AI45" s="324" t="e">
        <f>VLOOKUP(AI43,$AB$8:$AH$17,3,FALSE)</f>
        <v>#N/A</v>
      </c>
      <c r="AK45" s="299" t="s">
        <v>3180</v>
      </c>
    </row>
    <row r="46" spans="1:37" ht="15" x14ac:dyDescent="0.25">
      <c r="A46" s="944">
        <v>39005970300</v>
      </c>
      <c r="B46" s="239" t="s">
        <v>64</v>
      </c>
      <c r="C46" s="286" t="s">
        <v>2975</v>
      </c>
      <c r="D46" s="865" t="s">
        <v>2975</v>
      </c>
      <c r="E46" s="287" t="s">
        <v>3566</v>
      </c>
      <c r="F46" s="287" t="s">
        <v>3558</v>
      </c>
      <c r="G46" s="288" t="s">
        <v>3568</v>
      </c>
      <c r="H46" s="287">
        <v>43046</v>
      </c>
      <c r="I46" s="287" t="s">
        <v>2975</v>
      </c>
      <c r="J46" s="759"/>
      <c r="L46" s="290" t="s">
        <v>3180</v>
      </c>
      <c r="M46" s="958">
        <v>1.2</v>
      </c>
      <c r="N46" s="724"/>
      <c r="O46" s="724"/>
      <c r="P46" s="291"/>
      <c r="Q46" s="729">
        <v>2336</v>
      </c>
      <c r="S46" s="293" t="s">
        <v>3180</v>
      </c>
      <c r="T46" s="461">
        <v>661</v>
      </c>
      <c r="U46" s="461">
        <v>708</v>
      </c>
      <c r="V46" s="461">
        <v>850</v>
      </c>
      <c r="W46" s="461">
        <v>981</v>
      </c>
      <c r="X46" s="461">
        <v>1095</v>
      </c>
      <c r="Y46" s="461">
        <v>1208</v>
      </c>
      <c r="Z46" s="294"/>
      <c r="AB46" s="317">
        <v>2</v>
      </c>
      <c r="AC46" s="334" t="e">
        <f>VLOOKUP(AC43,$AB$8:$AH$17,4,FALSE)</f>
        <v>#N/A</v>
      </c>
      <c r="AD46" s="319">
        <v>2</v>
      </c>
      <c r="AE46" s="320" t="e">
        <f>VLOOKUP(AE43,$AB$8:$AH$17,4,FALSE)</f>
        <v>#N/A</v>
      </c>
      <c r="AF46" s="321">
        <v>2</v>
      </c>
      <c r="AG46" s="322" t="e">
        <f>VLOOKUP(AG43,$AB$8:$AH$17,4,FALSE)</f>
        <v>#N/A</v>
      </c>
      <c r="AH46" s="323">
        <v>2</v>
      </c>
      <c r="AI46" s="324" t="e">
        <f>VLOOKUP(AI43,$AB$8:$AH$17,4,FALSE)</f>
        <v>#N/A</v>
      </c>
      <c r="AK46" s="299" t="s">
        <v>3015</v>
      </c>
    </row>
    <row r="47" spans="1:37" ht="15" x14ac:dyDescent="0.25">
      <c r="A47" s="944">
        <v>39005970400</v>
      </c>
      <c r="B47" s="239" t="s">
        <v>65</v>
      </c>
      <c r="C47" s="286" t="s">
        <v>2975</v>
      </c>
      <c r="D47" s="865" t="s">
        <v>4330</v>
      </c>
      <c r="E47" s="287" t="s">
        <v>3564</v>
      </c>
      <c r="F47" s="287" t="s">
        <v>3558</v>
      </c>
      <c r="G47" s="288" t="s">
        <v>3568</v>
      </c>
      <c r="H47" s="287">
        <v>43050</v>
      </c>
      <c r="I47" s="287" t="s">
        <v>2975</v>
      </c>
      <c r="J47" s="757" t="s">
        <v>4512</v>
      </c>
      <c r="K47" s="272"/>
      <c r="L47" s="290" t="s">
        <v>3015</v>
      </c>
      <c r="M47" s="958">
        <v>0</v>
      </c>
      <c r="N47" s="724"/>
      <c r="O47" s="724"/>
      <c r="P47" s="291"/>
      <c r="Q47" s="729">
        <v>2336</v>
      </c>
      <c r="S47" s="293" t="s">
        <v>3015</v>
      </c>
      <c r="T47" s="461">
        <v>747</v>
      </c>
      <c r="U47" s="461">
        <v>801</v>
      </c>
      <c r="V47" s="461">
        <v>961</v>
      </c>
      <c r="W47" s="461">
        <v>1110</v>
      </c>
      <c r="X47" s="461">
        <v>1238</v>
      </c>
      <c r="Y47" s="461">
        <v>1366</v>
      </c>
      <c r="Z47" s="294"/>
      <c r="AB47" s="317">
        <v>3</v>
      </c>
      <c r="AC47" s="334" t="e">
        <f>VLOOKUP(AC43,$AB$8:$AH$17,5,FALSE)</f>
        <v>#N/A</v>
      </c>
      <c r="AD47" s="319">
        <v>3</v>
      </c>
      <c r="AE47" s="320" t="e">
        <f>VLOOKUP(AE43,$AB$8:$AH$17,5,FALSE)</f>
        <v>#N/A</v>
      </c>
      <c r="AF47" s="321">
        <v>3</v>
      </c>
      <c r="AG47" s="322" t="e">
        <f>VLOOKUP(AG43,$AB$8:$AH$17,5,FALSE)</f>
        <v>#N/A</v>
      </c>
      <c r="AH47" s="323">
        <v>3</v>
      </c>
      <c r="AI47" s="324" t="e">
        <f>VLOOKUP(AI43,$AB$8:$AH$17,5,FALSE)</f>
        <v>#N/A</v>
      </c>
      <c r="AK47" s="299" t="s">
        <v>3016</v>
      </c>
    </row>
    <row r="48" spans="1:37" ht="15" x14ac:dyDescent="0.25">
      <c r="A48" s="944">
        <v>39005970500</v>
      </c>
      <c r="B48" s="239" t="s">
        <v>66</v>
      </c>
      <c r="C48" s="286" t="s">
        <v>2975</v>
      </c>
      <c r="D48" s="865" t="s">
        <v>4330</v>
      </c>
      <c r="E48" s="287" t="s">
        <v>3563</v>
      </c>
      <c r="F48" s="287" t="s">
        <v>3565</v>
      </c>
      <c r="G48" s="288" t="s">
        <v>5175</v>
      </c>
      <c r="H48" s="287">
        <v>43054</v>
      </c>
      <c r="I48" s="287" t="s">
        <v>2975</v>
      </c>
      <c r="J48" s="758" t="s">
        <v>4513</v>
      </c>
      <c r="L48" s="290" t="s">
        <v>3016</v>
      </c>
      <c r="M48" s="958">
        <v>1.68</v>
      </c>
      <c r="N48" s="724"/>
      <c r="O48" s="724"/>
      <c r="P48" s="291"/>
      <c r="Q48" s="729">
        <v>2336</v>
      </c>
      <c r="S48" s="293" t="s">
        <v>3016</v>
      </c>
      <c r="T48" s="461">
        <v>572</v>
      </c>
      <c r="U48" s="461">
        <v>613</v>
      </c>
      <c r="V48" s="461">
        <v>736</v>
      </c>
      <c r="W48" s="461">
        <v>850</v>
      </c>
      <c r="X48" s="461">
        <v>948</v>
      </c>
      <c r="Y48" s="461">
        <v>1046</v>
      </c>
      <c r="Z48" s="294"/>
      <c r="AB48" s="317">
        <v>4</v>
      </c>
      <c r="AC48" s="334" t="e">
        <f>VLOOKUP(AC43,$AB$8:$AH$17,6,FALSE)</f>
        <v>#N/A</v>
      </c>
      <c r="AD48" s="319">
        <v>4</v>
      </c>
      <c r="AE48" s="320" t="e">
        <f>VLOOKUP(AE43,$AB$8:$AH$17,6,FALSE)</f>
        <v>#N/A</v>
      </c>
      <c r="AF48" s="321">
        <v>4</v>
      </c>
      <c r="AG48" s="322" t="e">
        <f>VLOOKUP(AG43,$AB$8:$AH$17,6,FALSE)</f>
        <v>#N/A</v>
      </c>
      <c r="AH48" s="323">
        <v>4</v>
      </c>
      <c r="AI48" s="324" t="e">
        <f>VLOOKUP(AI43,$AB$8:$AH$17,6,FALSE)</f>
        <v>#N/A</v>
      </c>
      <c r="AK48" s="299" t="s">
        <v>3017</v>
      </c>
    </row>
    <row r="49" spans="1:37" ht="15" x14ac:dyDescent="0.25">
      <c r="A49" s="944">
        <v>39005970600</v>
      </c>
      <c r="B49" s="239" t="s">
        <v>67</v>
      </c>
      <c r="C49" s="286" t="s">
        <v>2975</v>
      </c>
      <c r="D49" s="865" t="s">
        <v>2975</v>
      </c>
      <c r="E49" s="287" t="s">
        <v>3562</v>
      </c>
      <c r="F49" s="287" t="s">
        <v>3558</v>
      </c>
      <c r="G49" s="288" t="s">
        <v>3568</v>
      </c>
      <c r="H49" s="287">
        <v>43055</v>
      </c>
      <c r="I49" s="287" t="s">
        <v>2975</v>
      </c>
      <c r="J49" s="758" t="s">
        <v>4514</v>
      </c>
      <c r="L49" s="290" t="s">
        <v>3017</v>
      </c>
      <c r="M49" s="958">
        <v>0</v>
      </c>
      <c r="N49" s="724"/>
      <c r="O49" s="724"/>
      <c r="P49" s="291"/>
      <c r="Q49" s="729">
        <v>2336</v>
      </c>
      <c r="S49" s="293" t="s">
        <v>3017</v>
      </c>
      <c r="T49" s="461">
        <v>820</v>
      </c>
      <c r="U49" s="461">
        <v>878</v>
      </c>
      <c r="V49" s="461">
        <v>1055</v>
      </c>
      <c r="W49" s="461">
        <v>1218</v>
      </c>
      <c r="X49" s="461">
        <v>1358</v>
      </c>
      <c r="Y49" s="461">
        <v>1499</v>
      </c>
      <c r="Z49" s="294"/>
      <c r="AB49" s="325">
        <v>5</v>
      </c>
      <c r="AC49" s="335" t="e">
        <f>VLOOKUP(AC43,$AB$8:$AH$17,7,FALSE)</f>
        <v>#N/A</v>
      </c>
      <c r="AD49" s="327">
        <v>5</v>
      </c>
      <c r="AE49" s="328" t="e">
        <f>VLOOKUP(AE43,$AB$8:$AH$17,7,FALSE)</f>
        <v>#N/A</v>
      </c>
      <c r="AF49" s="329">
        <v>5</v>
      </c>
      <c r="AG49" s="330" t="e">
        <f>VLOOKUP(AG43,$AB$8:$AH$17,7,FALSE)</f>
        <v>#N/A</v>
      </c>
      <c r="AH49" s="331">
        <v>5</v>
      </c>
      <c r="AI49" s="332" t="e">
        <f>VLOOKUP(AI43,$AB$8:$AH$17,7,FALSE)</f>
        <v>#N/A</v>
      </c>
      <c r="AK49" s="299" t="s">
        <v>3018</v>
      </c>
    </row>
    <row r="50" spans="1:37" x14ac:dyDescent="0.2">
      <c r="A50" s="944">
        <v>39005970700</v>
      </c>
      <c r="B50" s="239" t="s">
        <v>68</v>
      </c>
      <c r="C50" s="286" t="s">
        <v>2975</v>
      </c>
      <c r="D50" s="865" t="s">
        <v>2975</v>
      </c>
      <c r="E50" s="287" t="s">
        <v>3562</v>
      </c>
      <c r="F50" s="287" t="s">
        <v>3565</v>
      </c>
      <c r="G50" s="288" t="s">
        <v>3568</v>
      </c>
      <c r="H50" s="287">
        <v>43056</v>
      </c>
      <c r="I50" s="287" t="s">
        <v>2975</v>
      </c>
      <c r="J50" s="758" t="s">
        <v>4515</v>
      </c>
      <c r="L50" s="290" t="s">
        <v>3018</v>
      </c>
      <c r="M50" s="958">
        <v>1.1000000000000001</v>
      </c>
      <c r="N50" s="724"/>
      <c r="O50" s="724"/>
      <c r="P50" s="291"/>
      <c r="Q50" s="729">
        <v>2336</v>
      </c>
      <c r="S50" s="293" t="s">
        <v>3018</v>
      </c>
      <c r="T50" s="461">
        <v>697</v>
      </c>
      <c r="U50" s="461">
        <v>746</v>
      </c>
      <c r="V50" s="461">
        <v>896</v>
      </c>
      <c r="W50" s="461">
        <v>1035</v>
      </c>
      <c r="X50" s="461">
        <v>1155</v>
      </c>
      <c r="Y50" s="461">
        <v>1274</v>
      </c>
      <c r="Z50" s="294"/>
      <c r="AB50" s="333"/>
      <c r="AC50" s="333"/>
      <c r="AD50" s="333"/>
      <c r="AE50" s="333"/>
      <c r="AF50" s="333"/>
      <c r="AG50" s="333"/>
      <c r="AH50" s="333"/>
      <c r="AI50" s="333"/>
      <c r="AK50" s="299" t="s">
        <v>3019</v>
      </c>
    </row>
    <row r="51" spans="1:37" ht="15" x14ac:dyDescent="0.25">
      <c r="A51" s="944">
        <v>39005970800</v>
      </c>
      <c r="B51" s="239" t="s">
        <v>69</v>
      </c>
      <c r="C51" s="286" t="s">
        <v>2975</v>
      </c>
      <c r="D51" s="865" t="s">
        <v>2975</v>
      </c>
      <c r="E51" s="287" t="s">
        <v>3562</v>
      </c>
      <c r="F51" s="287" t="s">
        <v>3565</v>
      </c>
      <c r="G51" s="288" t="s">
        <v>3568</v>
      </c>
      <c r="H51" s="287">
        <v>43060</v>
      </c>
      <c r="I51" s="287" t="s">
        <v>2975</v>
      </c>
      <c r="J51" s="758" t="s">
        <v>4516</v>
      </c>
      <c r="L51" s="290" t="s">
        <v>3019</v>
      </c>
      <c r="M51" s="958">
        <v>0.57999999999999996</v>
      </c>
      <c r="N51" s="724"/>
      <c r="O51" s="724"/>
      <c r="P51" s="291"/>
      <c r="Q51" s="729">
        <v>2336</v>
      </c>
      <c r="S51" s="293" t="s">
        <v>3019</v>
      </c>
      <c r="T51" s="461">
        <v>747</v>
      </c>
      <c r="U51" s="461">
        <v>801</v>
      </c>
      <c r="V51" s="461">
        <v>961</v>
      </c>
      <c r="W51" s="461">
        <v>1110</v>
      </c>
      <c r="X51" s="461">
        <v>1238</v>
      </c>
      <c r="Y51" s="461">
        <v>1366</v>
      </c>
      <c r="Z51" s="294"/>
      <c r="AB51" s="309" t="s">
        <v>3205</v>
      </c>
      <c r="AC51" s="310">
        <f>'Budget &amp; Costs'!G25</f>
        <v>0</v>
      </c>
      <c r="AD51" s="311" t="s">
        <v>3206</v>
      </c>
      <c r="AE51" s="312">
        <f>'Budget &amp; Costs'!G26</f>
        <v>0</v>
      </c>
      <c r="AF51" s="313" t="s">
        <v>3207</v>
      </c>
      <c r="AG51" s="314">
        <f>'Budget &amp; Costs'!G27</f>
        <v>0</v>
      </c>
      <c r="AH51" s="315" t="s">
        <v>3208</v>
      </c>
      <c r="AI51" s="316">
        <f>'Budget &amp; Costs'!G28</f>
        <v>0</v>
      </c>
      <c r="AK51" s="299" t="s">
        <v>3020</v>
      </c>
    </row>
    <row r="52" spans="1:37" ht="15" x14ac:dyDescent="0.25">
      <c r="A52" s="944">
        <v>39005970900</v>
      </c>
      <c r="B52" s="239" t="s">
        <v>70</v>
      </c>
      <c r="C52" s="286" t="s">
        <v>2975</v>
      </c>
      <c r="D52" s="865" t="s">
        <v>2975</v>
      </c>
      <c r="E52" s="287" t="s">
        <v>3563</v>
      </c>
      <c r="F52" s="287" t="s">
        <v>3559</v>
      </c>
      <c r="G52" s="288" t="s">
        <v>3568</v>
      </c>
      <c r="H52" s="287">
        <v>43061</v>
      </c>
      <c r="I52" s="287" t="s">
        <v>2975</v>
      </c>
      <c r="J52" s="758" t="s">
        <v>4517</v>
      </c>
      <c r="L52" s="290" t="s">
        <v>3020</v>
      </c>
      <c r="M52" s="958">
        <v>0.91</v>
      </c>
      <c r="N52" s="724"/>
      <c r="O52" s="724"/>
      <c r="P52" s="291"/>
      <c r="Q52" s="292">
        <v>383</v>
      </c>
      <c r="S52" s="293" t="s">
        <v>3020</v>
      </c>
      <c r="T52" s="461">
        <v>681</v>
      </c>
      <c r="U52" s="461">
        <v>730</v>
      </c>
      <c r="V52" s="461">
        <v>876</v>
      </c>
      <c r="W52" s="461">
        <v>1011</v>
      </c>
      <c r="X52" s="461">
        <v>1128</v>
      </c>
      <c r="Y52" s="461">
        <v>1245</v>
      </c>
      <c r="Z52" s="294"/>
      <c r="AB52" s="317">
        <v>0</v>
      </c>
      <c r="AC52" s="334" t="e">
        <f>VLOOKUP(AC51,$AB$8:$AH$17,2,FALSE)</f>
        <v>#N/A</v>
      </c>
      <c r="AD52" s="319">
        <v>0</v>
      </c>
      <c r="AE52" s="320" t="e">
        <f>VLOOKUP(AE51,$AB$8:$AH$17,2,FALSE)</f>
        <v>#N/A</v>
      </c>
      <c r="AF52" s="321">
        <v>0</v>
      </c>
      <c r="AG52" s="322" t="e">
        <f>VLOOKUP(AG51,$AB$8:$AH$17,2,FALSE)</f>
        <v>#N/A</v>
      </c>
      <c r="AH52" s="323">
        <v>0</v>
      </c>
      <c r="AI52" s="324" t="e">
        <f>VLOOKUP(AI51,$AB$8:$AH$17,2,FALSE)</f>
        <v>#N/A</v>
      </c>
      <c r="AK52" s="299" t="s">
        <v>3021</v>
      </c>
    </row>
    <row r="53" spans="1:37" ht="15" x14ac:dyDescent="0.25">
      <c r="A53" s="944">
        <v>39005971000</v>
      </c>
      <c r="B53" s="239" t="s">
        <v>71</v>
      </c>
      <c r="C53" s="286" t="s">
        <v>2975</v>
      </c>
      <c r="D53" s="865" t="s">
        <v>2975</v>
      </c>
      <c r="E53" s="287" t="s">
        <v>3566</v>
      </c>
      <c r="F53" s="287" t="s">
        <v>3559</v>
      </c>
      <c r="G53" s="288" t="s">
        <v>3568</v>
      </c>
      <c r="H53" s="287">
        <v>43062</v>
      </c>
      <c r="I53" s="287" t="s">
        <v>2975</v>
      </c>
      <c r="J53" s="758" t="s">
        <v>4518</v>
      </c>
      <c r="L53" s="290" t="s">
        <v>3021</v>
      </c>
      <c r="M53" s="958">
        <v>1.1499999999999999</v>
      </c>
      <c r="N53" s="724"/>
      <c r="O53" s="724"/>
      <c r="P53" s="291"/>
      <c r="Q53" s="729">
        <v>2336</v>
      </c>
      <c r="S53" s="293" t="s">
        <v>3021</v>
      </c>
      <c r="T53" s="461">
        <v>820</v>
      </c>
      <c r="U53" s="461">
        <v>878</v>
      </c>
      <c r="V53" s="461">
        <v>1055</v>
      </c>
      <c r="W53" s="461">
        <v>1218</v>
      </c>
      <c r="X53" s="461">
        <v>1358</v>
      </c>
      <c r="Y53" s="461">
        <v>1499</v>
      </c>
      <c r="Z53" s="294"/>
      <c r="AB53" s="317">
        <v>1</v>
      </c>
      <c r="AC53" s="334" t="e">
        <f>VLOOKUP(AC51,$AB$8:$AH$17,3,FALSE)</f>
        <v>#N/A</v>
      </c>
      <c r="AD53" s="319">
        <v>1</v>
      </c>
      <c r="AE53" s="320" t="e">
        <f>VLOOKUP(AE51,$AB$8:$AH$17,3,FALSE)</f>
        <v>#N/A</v>
      </c>
      <c r="AF53" s="321">
        <v>1</v>
      </c>
      <c r="AG53" s="322" t="e">
        <f>VLOOKUP(AG51,$AB$8:$AH$17,3,FALSE)</f>
        <v>#N/A</v>
      </c>
      <c r="AH53" s="323">
        <v>1</v>
      </c>
      <c r="AI53" s="324" t="e">
        <f>VLOOKUP(AI51,$AB$8:$AH$17,3,FALSE)</f>
        <v>#N/A</v>
      </c>
      <c r="AK53" s="299" t="s">
        <v>3022</v>
      </c>
    </row>
    <row r="54" spans="1:37" ht="15" x14ac:dyDescent="0.25">
      <c r="A54" s="944">
        <v>39005971100</v>
      </c>
      <c r="B54" s="239" t="s">
        <v>72</v>
      </c>
      <c r="C54" s="286" t="s">
        <v>2975</v>
      </c>
      <c r="D54" s="865" t="s">
        <v>2975</v>
      </c>
      <c r="E54" s="287" t="s">
        <v>3564</v>
      </c>
      <c r="F54" s="287" t="s">
        <v>3565</v>
      </c>
      <c r="G54" s="288" t="s">
        <v>3568</v>
      </c>
      <c r="H54" s="287">
        <v>43064</v>
      </c>
      <c r="I54" s="287" t="s">
        <v>2975</v>
      </c>
      <c r="J54" s="758" t="s">
        <v>4519</v>
      </c>
      <c r="L54" s="290" t="s">
        <v>3022</v>
      </c>
      <c r="M54" s="958">
        <v>0.5</v>
      </c>
      <c r="N54" s="724"/>
      <c r="O54" s="724"/>
      <c r="P54" s="291"/>
      <c r="Q54" s="292">
        <v>62</v>
      </c>
      <c r="S54" s="293" t="s">
        <v>3022</v>
      </c>
      <c r="T54" s="461">
        <v>648</v>
      </c>
      <c r="U54" s="461">
        <v>695</v>
      </c>
      <c r="V54" s="461">
        <v>833</v>
      </c>
      <c r="W54" s="461">
        <v>963</v>
      </c>
      <c r="X54" s="461">
        <v>1075</v>
      </c>
      <c r="Y54" s="461">
        <v>1186</v>
      </c>
      <c r="Z54" s="294"/>
      <c r="AB54" s="317">
        <v>2</v>
      </c>
      <c r="AC54" s="334" t="e">
        <f>VLOOKUP(AC51,$AB$8:$AH$17,4,FALSE)</f>
        <v>#N/A</v>
      </c>
      <c r="AD54" s="319">
        <v>2</v>
      </c>
      <c r="AE54" s="320" t="e">
        <f>VLOOKUP(AE51,$AB$8:$AH$17,4,FALSE)</f>
        <v>#N/A</v>
      </c>
      <c r="AF54" s="321">
        <v>2</v>
      </c>
      <c r="AG54" s="322" t="e">
        <f>VLOOKUP(AG51,$AB$8:$AH$17,4,FALSE)</f>
        <v>#N/A</v>
      </c>
      <c r="AH54" s="323">
        <v>2</v>
      </c>
      <c r="AI54" s="324" t="e">
        <f>VLOOKUP(AI51,$AB$8:$AH$17,4,FALSE)</f>
        <v>#N/A</v>
      </c>
      <c r="AK54" s="299" t="s">
        <v>3023</v>
      </c>
    </row>
    <row r="55" spans="1:37" ht="15" x14ac:dyDescent="0.25">
      <c r="A55" s="944">
        <v>39007000101</v>
      </c>
      <c r="B55" s="239" t="s">
        <v>73</v>
      </c>
      <c r="C55" s="286" t="s">
        <v>2975</v>
      </c>
      <c r="D55" s="865" t="s">
        <v>2975</v>
      </c>
      <c r="E55" s="287" t="s">
        <v>3566</v>
      </c>
      <c r="F55" s="287" t="s">
        <v>5177</v>
      </c>
      <c r="G55" s="288" t="s">
        <v>3568</v>
      </c>
      <c r="H55" s="287">
        <v>43065</v>
      </c>
      <c r="I55" s="287" t="s">
        <v>2975</v>
      </c>
      <c r="J55" s="758" t="s">
        <v>4520</v>
      </c>
      <c r="L55" s="290" t="s">
        <v>3023</v>
      </c>
      <c r="M55" s="958">
        <v>0.87</v>
      </c>
      <c r="N55" s="724"/>
      <c r="O55" s="724"/>
      <c r="P55" s="291"/>
      <c r="Q55" s="729">
        <v>2336</v>
      </c>
      <c r="S55" s="293" t="s">
        <v>3023</v>
      </c>
      <c r="T55" s="461">
        <v>648</v>
      </c>
      <c r="U55" s="461">
        <v>695</v>
      </c>
      <c r="V55" s="461">
        <v>833</v>
      </c>
      <c r="W55" s="461">
        <v>963</v>
      </c>
      <c r="X55" s="461">
        <v>1075</v>
      </c>
      <c r="Y55" s="461">
        <v>1186</v>
      </c>
      <c r="Z55" s="294"/>
      <c r="AB55" s="317">
        <v>3</v>
      </c>
      <c r="AC55" s="334" t="e">
        <f>VLOOKUP(AC51,$AB$8:$AH$17,5,FALSE)</f>
        <v>#N/A</v>
      </c>
      <c r="AD55" s="319">
        <v>3</v>
      </c>
      <c r="AE55" s="320" t="e">
        <f>VLOOKUP(AE51,$AB$8:$AH$17,5,FALSE)</f>
        <v>#N/A</v>
      </c>
      <c r="AF55" s="321">
        <v>3</v>
      </c>
      <c r="AG55" s="322" t="e">
        <f>VLOOKUP(AG51,$AB$8:$AH$17,5,FALSE)</f>
        <v>#N/A</v>
      </c>
      <c r="AH55" s="323">
        <v>3</v>
      </c>
      <c r="AI55" s="324" t="e">
        <f>VLOOKUP(AI51,$AB$8:$AH$17,5,FALSE)</f>
        <v>#N/A</v>
      </c>
      <c r="AK55" s="299" t="s">
        <v>3024</v>
      </c>
    </row>
    <row r="56" spans="1:37" ht="15" x14ac:dyDescent="0.25">
      <c r="A56" s="944">
        <v>39007000102</v>
      </c>
      <c r="B56" s="239" t="s">
        <v>74</v>
      </c>
      <c r="C56" s="286" t="s">
        <v>2975</v>
      </c>
      <c r="D56" s="865" t="s">
        <v>2975</v>
      </c>
      <c r="E56" s="287" t="s">
        <v>3557</v>
      </c>
      <c r="F56" s="287" t="s">
        <v>5176</v>
      </c>
      <c r="G56" s="288" t="s">
        <v>5175</v>
      </c>
      <c r="H56" s="287">
        <v>43066</v>
      </c>
      <c r="I56" s="287" t="s">
        <v>2975</v>
      </c>
      <c r="J56" s="758" t="s">
        <v>4521</v>
      </c>
      <c r="L56" s="290" t="s">
        <v>3024</v>
      </c>
      <c r="M56" s="958">
        <v>0.62</v>
      </c>
      <c r="N56" s="724"/>
      <c r="O56" s="724"/>
      <c r="P56" s="291"/>
      <c r="Q56" s="729">
        <v>2336</v>
      </c>
      <c r="S56" s="293" t="s">
        <v>3024</v>
      </c>
      <c r="T56" s="461">
        <v>747</v>
      </c>
      <c r="U56" s="461">
        <v>801</v>
      </c>
      <c r="V56" s="461">
        <v>961</v>
      </c>
      <c r="W56" s="461">
        <v>1110</v>
      </c>
      <c r="X56" s="461">
        <v>1238</v>
      </c>
      <c r="Y56" s="461">
        <v>1366</v>
      </c>
      <c r="Z56" s="294"/>
      <c r="AB56" s="317">
        <v>4</v>
      </c>
      <c r="AC56" s="334" t="e">
        <f>VLOOKUP(AC51,$AB$8:$AH$17,6,FALSE)</f>
        <v>#N/A</v>
      </c>
      <c r="AD56" s="319">
        <v>4</v>
      </c>
      <c r="AE56" s="320" t="e">
        <f>VLOOKUP(AE51,$AB$8:$AH$17,6,FALSE)</f>
        <v>#N/A</v>
      </c>
      <c r="AF56" s="321">
        <v>4</v>
      </c>
      <c r="AG56" s="322" t="e">
        <f>VLOOKUP(AG51,$AB$8:$AH$17,6,FALSE)</f>
        <v>#N/A</v>
      </c>
      <c r="AH56" s="323">
        <v>4</v>
      </c>
      <c r="AI56" s="324" t="e">
        <f>VLOOKUP(AI51,$AB$8:$AH$17,6,FALSE)</f>
        <v>#N/A</v>
      </c>
      <c r="AK56" s="299" t="s">
        <v>3025</v>
      </c>
    </row>
    <row r="57" spans="1:37" ht="15" x14ac:dyDescent="0.25">
      <c r="A57" s="944">
        <v>39007000103</v>
      </c>
      <c r="B57" s="239" t="s">
        <v>75</v>
      </c>
      <c r="C57" s="286" t="s">
        <v>4330</v>
      </c>
      <c r="D57" s="865" t="s">
        <v>2975</v>
      </c>
      <c r="E57" s="287" t="s">
        <v>3557</v>
      </c>
      <c r="F57" s="287" t="s">
        <v>3559</v>
      </c>
      <c r="G57" s="288" t="s">
        <v>5175</v>
      </c>
      <c r="H57" s="287">
        <v>43067</v>
      </c>
      <c r="I57" s="287" t="s">
        <v>2975</v>
      </c>
      <c r="J57" s="758" t="s">
        <v>4522</v>
      </c>
      <c r="L57" s="290" t="s">
        <v>3025</v>
      </c>
      <c r="M57" s="958">
        <v>0</v>
      </c>
      <c r="N57" s="724"/>
      <c r="O57" s="724"/>
      <c r="P57" s="291"/>
      <c r="Q57" s="729">
        <v>2336</v>
      </c>
      <c r="S57" s="293" t="s">
        <v>3025</v>
      </c>
      <c r="T57" s="461">
        <v>648</v>
      </c>
      <c r="U57" s="461">
        <v>695</v>
      </c>
      <c r="V57" s="461">
        <v>833</v>
      </c>
      <c r="W57" s="461">
        <v>963</v>
      </c>
      <c r="X57" s="461">
        <v>1075</v>
      </c>
      <c r="Y57" s="461">
        <v>1186</v>
      </c>
      <c r="Z57" s="294"/>
      <c r="AB57" s="325">
        <v>5</v>
      </c>
      <c r="AC57" s="335" t="e">
        <f>VLOOKUP(AC51,$AB$8:$AH$17,7,FALSE)</f>
        <v>#N/A</v>
      </c>
      <c r="AD57" s="327">
        <v>5</v>
      </c>
      <c r="AE57" s="328" t="e">
        <f>VLOOKUP(AE51,$AB$8:$AH$17,7,FALSE)</f>
        <v>#N/A</v>
      </c>
      <c r="AF57" s="329">
        <v>5</v>
      </c>
      <c r="AG57" s="330" t="e">
        <f>VLOOKUP(AG51,$AB$8:$AH$17,7,FALSE)</f>
        <v>#N/A</v>
      </c>
      <c r="AH57" s="331">
        <v>5</v>
      </c>
      <c r="AI57" s="332" t="e">
        <f>VLOOKUP(AI51,$AB$8:$AH$17,7,FALSE)</f>
        <v>#N/A</v>
      </c>
      <c r="AK57" s="299" t="s">
        <v>3026</v>
      </c>
    </row>
    <row r="58" spans="1:37" x14ac:dyDescent="0.2">
      <c r="A58" s="944">
        <v>39007000200</v>
      </c>
      <c r="B58" s="239" t="s">
        <v>76</v>
      </c>
      <c r="C58" s="286" t="s">
        <v>2975</v>
      </c>
      <c r="D58" s="865" t="s">
        <v>2975</v>
      </c>
      <c r="E58" s="287" t="s">
        <v>3563</v>
      </c>
      <c r="F58" s="287" t="s">
        <v>3565</v>
      </c>
      <c r="G58" s="288" t="s">
        <v>3568</v>
      </c>
      <c r="H58" s="287">
        <v>43068</v>
      </c>
      <c r="I58" s="287" t="s">
        <v>2975</v>
      </c>
      <c r="J58" s="758"/>
      <c r="L58" s="290" t="s">
        <v>3026</v>
      </c>
      <c r="M58" s="958">
        <v>0</v>
      </c>
      <c r="N58" s="724"/>
      <c r="O58" s="724"/>
      <c r="P58" s="291"/>
      <c r="Q58" s="729">
        <v>2336</v>
      </c>
      <c r="S58" s="293" t="s">
        <v>3026</v>
      </c>
      <c r="T58" s="461">
        <v>705</v>
      </c>
      <c r="U58" s="461">
        <v>755</v>
      </c>
      <c r="V58" s="461">
        <v>906</v>
      </c>
      <c r="W58" s="461">
        <v>1046</v>
      </c>
      <c r="X58" s="461">
        <v>1167</v>
      </c>
      <c r="Y58" s="461">
        <v>1288</v>
      </c>
      <c r="Z58" s="294"/>
      <c r="AK58" s="299" t="s">
        <v>3027</v>
      </c>
    </row>
    <row r="59" spans="1:37" ht="15" x14ac:dyDescent="0.25">
      <c r="A59" s="944">
        <v>39007000300</v>
      </c>
      <c r="B59" s="239" t="s">
        <v>77</v>
      </c>
      <c r="C59" s="286" t="s">
        <v>2975</v>
      </c>
      <c r="D59" s="865" t="s">
        <v>2975</v>
      </c>
      <c r="E59" s="287" t="s">
        <v>3566</v>
      </c>
      <c r="F59" s="287" t="s">
        <v>5177</v>
      </c>
      <c r="G59" s="288" t="s">
        <v>3568</v>
      </c>
      <c r="H59" s="287">
        <v>43070</v>
      </c>
      <c r="I59" s="287" t="s">
        <v>2975</v>
      </c>
      <c r="J59" s="757" t="s">
        <v>4017</v>
      </c>
      <c r="K59" s="272"/>
      <c r="L59" s="290" t="s">
        <v>3027</v>
      </c>
      <c r="M59" s="958">
        <v>0.88</v>
      </c>
      <c r="N59" s="724"/>
      <c r="O59" s="724"/>
      <c r="P59" s="291"/>
      <c r="Q59" s="729">
        <v>2336</v>
      </c>
      <c r="S59" s="293" t="s">
        <v>3027</v>
      </c>
      <c r="T59" s="461">
        <v>736</v>
      </c>
      <c r="U59" s="461">
        <v>788</v>
      </c>
      <c r="V59" s="461">
        <v>946</v>
      </c>
      <c r="W59" s="461">
        <v>1093</v>
      </c>
      <c r="X59" s="461">
        <v>1220</v>
      </c>
      <c r="Y59" s="461">
        <v>1346</v>
      </c>
      <c r="Z59" s="294"/>
      <c r="AB59" s="309" t="s">
        <v>4806</v>
      </c>
      <c r="AC59" s="310">
        <f>'Budget &amp; Costs'!G29</f>
        <v>0</v>
      </c>
      <c r="AD59" s="311" t="s">
        <v>4807</v>
      </c>
      <c r="AE59" s="312">
        <f>'Budget &amp; Costs'!G30</f>
        <v>0</v>
      </c>
      <c r="AF59" s="313" t="s">
        <v>4808</v>
      </c>
      <c r="AG59" s="314">
        <f>'Budget &amp; Costs'!G31</f>
        <v>0</v>
      </c>
      <c r="AH59" s="315" t="s">
        <v>4809</v>
      </c>
      <c r="AI59" s="316">
        <f>'Budget &amp; Costs'!G32</f>
        <v>0</v>
      </c>
      <c r="AK59" s="299" t="s">
        <v>3028</v>
      </c>
    </row>
    <row r="60" spans="1:37" ht="15" x14ac:dyDescent="0.25">
      <c r="A60" s="944">
        <v>39007000400</v>
      </c>
      <c r="B60" s="239" t="s">
        <v>78</v>
      </c>
      <c r="C60" s="286" t="s">
        <v>4330</v>
      </c>
      <c r="D60" s="865" t="s">
        <v>4330</v>
      </c>
      <c r="E60" s="287" t="s">
        <v>3557</v>
      </c>
      <c r="F60" s="287" t="s">
        <v>3565</v>
      </c>
      <c r="G60" s="288" t="s">
        <v>5175</v>
      </c>
      <c r="H60" s="287">
        <v>43071</v>
      </c>
      <c r="I60" s="287" t="s">
        <v>2975</v>
      </c>
      <c r="J60" s="759" t="s">
        <v>3908</v>
      </c>
      <c r="L60" s="290" t="s">
        <v>3028</v>
      </c>
      <c r="M60" s="958">
        <v>0</v>
      </c>
      <c r="N60" s="724"/>
      <c r="O60" s="724"/>
      <c r="P60" s="291"/>
      <c r="Q60" s="729">
        <v>2336</v>
      </c>
      <c r="S60" s="293" t="s">
        <v>3028</v>
      </c>
      <c r="T60" s="461">
        <v>648</v>
      </c>
      <c r="U60" s="461">
        <v>695</v>
      </c>
      <c r="V60" s="461">
        <v>833</v>
      </c>
      <c r="W60" s="461">
        <v>963</v>
      </c>
      <c r="X60" s="461">
        <v>1075</v>
      </c>
      <c r="Y60" s="461">
        <v>1186</v>
      </c>
      <c r="Z60" s="294"/>
      <c r="AB60" s="317">
        <v>0</v>
      </c>
      <c r="AC60" s="334" t="e">
        <f>VLOOKUP(AC59,$AB$8:$AH$17,2,FALSE)</f>
        <v>#N/A</v>
      </c>
      <c r="AD60" s="319">
        <v>0</v>
      </c>
      <c r="AE60" s="320" t="e">
        <f>VLOOKUP(AE59,$AB$8:$AH$17,2,FALSE)</f>
        <v>#N/A</v>
      </c>
      <c r="AF60" s="321">
        <v>0</v>
      </c>
      <c r="AG60" s="322" t="e">
        <f>VLOOKUP(AG59,$AB$8:$AH$17,2,FALSE)</f>
        <v>#N/A</v>
      </c>
      <c r="AH60" s="323">
        <v>0</v>
      </c>
      <c r="AI60" s="324" t="e">
        <f>VLOOKUP(AI59,$AB$8:$AH$17,2,FALSE)</f>
        <v>#N/A</v>
      </c>
      <c r="AK60" s="299" t="s">
        <v>3029</v>
      </c>
    </row>
    <row r="61" spans="1:37" ht="15" x14ac:dyDescent="0.25">
      <c r="A61" s="944">
        <v>39007000500</v>
      </c>
      <c r="B61" s="239" t="s">
        <v>79</v>
      </c>
      <c r="C61" s="286" t="s">
        <v>2975</v>
      </c>
      <c r="D61" s="865" t="s">
        <v>2975</v>
      </c>
      <c r="E61" s="287" t="s">
        <v>3564</v>
      </c>
      <c r="F61" s="287" t="s">
        <v>3559</v>
      </c>
      <c r="G61" s="288" t="s">
        <v>3568</v>
      </c>
      <c r="H61" s="287">
        <v>43072</v>
      </c>
      <c r="I61" s="287" t="s">
        <v>2975</v>
      </c>
      <c r="J61" s="759" t="s">
        <v>4368</v>
      </c>
      <c r="L61" s="290" t="s">
        <v>3029</v>
      </c>
      <c r="M61" s="958">
        <v>1.94</v>
      </c>
      <c r="N61" s="724"/>
      <c r="O61" s="724"/>
      <c r="P61" s="291"/>
      <c r="Q61" s="292">
        <v>568</v>
      </c>
      <c r="S61" s="293" t="s">
        <v>3029</v>
      </c>
      <c r="T61" s="461">
        <v>736</v>
      </c>
      <c r="U61" s="461">
        <v>788</v>
      </c>
      <c r="V61" s="461">
        <v>946</v>
      </c>
      <c r="W61" s="461">
        <v>1093</v>
      </c>
      <c r="X61" s="461">
        <v>1220</v>
      </c>
      <c r="Y61" s="461">
        <v>1346</v>
      </c>
      <c r="Z61" s="294"/>
      <c r="AB61" s="317">
        <v>1</v>
      </c>
      <c r="AC61" s="334" t="e">
        <f>VLOOKUP(AC59,$AB$8:$AH$17,3,FALSE)</f>
        <v>#N/A</v>
      </c>
      <c r="AD61" s="319">
        <v>1</v>
      </c>
      <c r="AE61" s="320" t="e">
        <f>VLOOKUP(AE59,$AB$8:$AH$17,3,FALSE)</f>
        <v>#N/A</v>
      </c>
      <c r="AF61" s="321">
        <v>1</v>
      </c>
      <c r="AG61" s="322" t="e">
        <f>VLOOKUP(AG59,$AB$8:$AH$17,3,FALSE)</f>
        <v>#N/A</v>
      </c>
      <c r="AH61" s="323">
        <v>1</v>
      </c>
      <c r="AI61" s="324" t="e">
        <f>VLOOKUP(AI59,$AB$8:$AH$17,3,FALSE)</f>
        <v>#N/A</v>
      </c>
      <c r="AK61" s="299" t="s">
        <v>3030</v>
      </c>
    </row>
    <row r="62" spans="1:37" ht="15" x14ac:dyDescent="0.25">
      <c r="A62" s="944">
        <v>39007000601</v>
      </c>
      <c r="B62" s="239" t="s">
        <v>80</v>
      </c>
      <c r="C62" s="286" t="s">
        <v>4330</v>
      </c>
      <c r="D62" s="865" t="s">
        <v>2975</v>
      </c>
      <c r="E62" s="287" t="s">
        <v>3557</v>
      </c>
      <c r="F62" s="287" t="s">
        <v>3558</v>
      </c>
      <c r="G62" s="288" t="s">
        <v>5175</v>
      </c>
      <c r="H62" s="287">
        <v>43074</v>
      </c>
      <c r="I62" s="287" t="s">
        <v>2975</v>
      </c>
      <c r="J62" s="759" t="s">
        <v>3909</v>
      </c>
      <c r="L62" s="290" t="s">
        <v>3030</v>
      </c>
      <c r="M62" s="958">
        <v>0</v>
      </c>
      <c r="N62" s="724"/>
      <c r="O62" s="724"/>
      <c r="P62" s="291"/>
      <c r="Q62" s="729">
        <v>2336</v>
      </c>
      <c r="S62" s="293" t="s">
        <v>3030</v>
      </c>
      <c r="T62" s="461">
        <v>648</v>
      </c>
      <c r="U62" s="461">
        <v>695</v>
      </c>
      <c r="V62" s="461">
        <v>833</v>
      </c>
      <c r="W62" s="461">
        <v>963</v>
      </c>
      <c r="X62" s="461">
        <v>1075</v>
      </c>
      <c r="Y62" s="461">
        <v>1186</v>
      </c>
      <c r="Z62" s="294"/>
      <c r="AB62" s="317">
        <v>2</v>
      </c>
      <c r="AC62" s="334" t="e">
        <f>VLOOKUP(AC59,$AB$8:$AH$17,4,FALSE)</f>
        <v>#N/A</v>
      </c>
      <c r="AD62" s="319">
        <v>2</v>
      </c>
      <c r="AE62" s="320" t="e">
        <f>VLOOKUP(AE59,$AB$8:$AH$17,4,FALSE)</f>
        <v>#N/A</v>
      </c>
      <c r="AF62" s="321">
        <v>2</v>
      </c>
      <c r="AG62" s="322" t="e">
        <f>VLOOKUP(AG59,$AB$8:$AH$17,4,FALSE)</f>
        <v>#N/A</v>
      </c>
      <c r="AH62" s="323">
        <v>2</v>
      </c>
      <c r="AI62" s="324" t="e">
        <f>VLOOKUP(AI59,$AB$8:$AH$17,4,FALSE)</f>
        <v>#N/A</v>
      </c>
      <c r="AK62" s="299" t="s">
        <v>3031</v>
      </c>
    </row>
    <row r="63" spans="1:37" ht="15" x14ac:dyDescent="0.25">
      <c r="A63" s="944">
        <v>39007000602</v>
      </c>
      <c r="B63" s="239" t="s">
        <v>81</v>
      </c>
      <c r="C63" s="286" t="s">
        <v>2975</v>
      </c>
      <c r="D63" s="865" t="s">
        <v>2975</v>
      </c>
      <c r="E63" s="287" t="s">
        <v>3557</v>
      </c>
      <c r="F63" s="287" t="s">
        <v>5176</v>
      </c>
      <c r="G63" s="288" t="s">
        <v>5175</v>
      </c>
      <c r="H63" s="287">
        <v>43076</v>
      </c>
      <c r="I63" s="287" t="s">
        <v>2975</v>
      </c>
      <c r="J63" s="759" t="s">
        <v>4369</v>
      </c>
      <c r="L63" s="290" t="s">
        <v>3031</v>
      </c>
      <c r="M63" s="958">
        <v>0</v>
      </c>
      <c r="N63" s="724"/>
      <c r="O63" s="724"/>
      <c r="P63" s="291"/>
      <c r="Q63" s="729">
        <v>2336</v>
      </c>
      <c r="S63" s="293" t="s">
        <v>3031</v>
      </c>
      <c r="T63" s="461">
        <v>820</v>
      </c>
      <c r="U63" s="461">
        <v>878</v>
      </c>
      <c r="V63" s="461">
        <v>1055</v>
      </c>
      <c r="W63" s="461">
        <v>1218</v>
      </c>
      <c r="X63" s="461">
        <v>1358</v>
      </c>
      <c r="Y63" s="461">
        <v>1499</v>
      </c>
      <c r="Z63" s="294"/>
      <c r="AB63" s="317">
        <v>3</v>
      </c>
      <c r="AC63" s="334" t="e">
        <f>VLOOKUP(AC59,$AB$8:$AH$17,5,FALSE)</f>
        <v>#N/A</v>
      </c>
      <c r="AD63" s="319">
        <v>3</v>
      </c>
      <c r="AE63" s="320" t="e">
        <f>VLOOKUP(AE59,$AB$8:$AH$17,5,FALSE)</f>
        <v>#N/A</v>
      </c>
      <c r="AF63" s="321">
        <v>3</v>
      </c>
      <c r="AG63" s="322" t="e">
        <f>VLOOKUP(AG59,$AB$8:$AH$17,5,FALSE)</f>
        <v>#N/A</v>
      </c>
      <c r="AH63" s="323">
        <v>3</v>
      </c>
      <c r="AI63" s="324" t="e">
        <f>VLOOKUP(AI59,$AB$8:$AH$17,5,FALSE)</f>
        <v>#N/A</v>
      </c>
      <c r="AK63" s="299" t="s">
        <v>3032</v>
      </c>
    </row>
    <row r="64" spans="1:37" ht="15" x14ac:dyDescent="0.25">
      <c r="A64" s="944">
        <v>39007000603</v>
      </c>
      <c r="B64" s="239" t="s">
        <v>82</v>
      </c>
      <c r="C64" s="286" t="s">
        <v>2975</v>
      </c>
      <c r="D64" s="865" t="s">
        <v>2975</v>
      </c>
      <c r="E64" s="287" t="s">
        <v>3564</v>
      </c>
      <c r="F64" s="287" t="s">
        <v>3558</v>
      </c>
      <c r="G64" s="288" t="s">
        <v>3568</v>
      </c>
      <c r="H64" s="287">
        <v>43077</v>
      </c>
      <c r="I64" s="287" t="s">
        <v>2975</v>
      </c>
      <c r="J64" s="758" t="s">
        <v>4370</v>
      </c>
      <c r="L64" s="290" t="s">
        <v>3032</v>
      </c>
      <c r="M64" s="958">
        <v>0.37</v>
      </c>
      <c r="N64" s="724"/>
      <c r="O64" s="724"/>
      <c r="P64" s="291"/>
      <c r="Q64" s="729">
        <v>2336</v>
      </c>
      <c r="S64" s="293" t="s">
        <v>3032</v>
      </c>
      <c r="T64" s="461">
        <v>648</v>
      </c>
      <c r="U64" s="461">
        <v>695</v>
      </c>
      <c r="V64" s="461">
        <v>833</v>
      </c>
      <c r="W64" s="461">
        <v>963</v>
      </c>
      <c r="X64" s="461">
        <v>1075</v>
      </c>
      <c r="Y64" s="461">
        <v>1186</v>
      </c>
      <c r="Z64" s="294"/>
      <c r="AB64" s="317">
        <v>4</v>
      </c>
      <c r="AC64" s="334" t="e">
        <f>VLOOKUP(AC59,$AB$8:$AH$17,6,FALSE)</f>
        <v>#N/A</v>
      </c>
      <c r="AD64" s="319">
        <v>4</v>
      </c>
      <c r="AE64" s="320" t="e">
        <f>VLOOKUP(AE59,$AB$8:$AH$17,6,FALSE)</f>
        <v>#N/A</v>
      </c>
      <c r="AF64" s="321">
        <v>4</v>
      </c>
      <c r="AG64" s="322" t="e">
        <f>VLOOKUP(AG59,$AB$8:$AH$17,6,FALSE)</f>
        <v>#N/A</v>
      </c>
      <c r="AH64" s="323">
        <v>4</v>
      </c>
      <c r="AI64" s="324" t="e">
        <f>VLOOKUP(AI59,$AB$8:$AH$17,6,FALSE)</f>
        <v>#N/A</v>
      </c>
      <c r="AK64" s="299" t="s">
        <v>3033</v>
      </c>
    </row>
    <row r="65" spans="1:37" ht="15" x14ac:dyDescent="0.25">
      <c r="A65" s="944">
        <v>39007000701</v>
      </c>
      <c r="B65" s="239" t="s">
        <v>83</v>
      </c>
      <c r="C65" s="286" t="s">
        <v>4330</v>
      </c>
      <c r="D65" s="865" t="s">
        <v>4330</v>
      </c>
      <c r="E65" s="287" t="s">
        <v>3557</v>
      </c>
      <c r="F65" s="287" t="s">
        <v>3558</v>
      </c>
      <c r="G65" s="288" t="s">
        <v>3568</v>
      </c>
      <c r="H65" s="287">
        <v>43078</v>
      </c>
      <c r="I65" s="287" t="s">
        <v>2975</v>
      </c>
      <c r="J65" s="759" t="s">
        <v>3913</v>
      </c>
      <c r="L65" s="290" t="s">
        <v>3033</v>
      </c>
      <c r="M65" s="958">
        <v>0</v>
      </c>
      <c r="N65" s="724"/>
      <c r="O65" s="724"/>
      <c r="P65" s="291"/>
      <c r="Q65" s="729">
        <v>2336</v>
      </c>
      <c r="S65" s="293" t="s">
        <v>3033</v>
      </c>
      <c r="T65" s="461">
        <v>648</v>
      </c>
      <c r="U65" s="461">
        <v>695</v>
      </c>
      <c r="V65" s="461">
        <v>833</v>
      </c>
      <c r="W65" s="461">
        <v>963</v>
      </c>
      <c r="X65" s="461">
        <v>1075</v>
      </c>
      <c r="Y65" s="461">
        <v>1186</v>
      </c>
      <c r="Z65" s="294"/>
      <c r="AB65" s="325">
        <v>5</v>
      </c>
      <c r="AC65" s="335" t="e">
        <f>VLOOKUP(AC59,$AB$8:$AH$17,7,FALSE)</f>
        <v>#N/A</v>
      </c>
      <c r="AD65" s="327">
        <v>5</v>
      </c>
      <c r="AE65" s="328" t="e">
        <f>VLOOKUP(AE59,$AB$8:$AH$17,7,FALSE)</f>
        <v>#N/A</v>
      </c>
      <c r="AF65" s="329">
        <v>5</v>
      </c>
      <c r="AG65" s="330" t="e">
        <f>VLOOKUP(AG59,$AB$8:$AH$17,7,FALSE)</f>
        <v>#N/A</v>
      </c>
      <c r="AH65" s="331">
        <v>5</v>
      </c>
      <c r="AI65" s="332" t="e">
        <f>VLOOKUP(AI59,$AB$8:$AH$17,7,FALSE)</f>
        <v>#N/A</v>
      </c>
      <c r="AK65" s="299" t="s">
        <v>3034</v>
      </c>
    </row>
    <row r="66" spans="1:37" x14ac:dyDescent="0.2">
      <c r="A66" s="944">
        <v>39007000702</v>
      </c>
      <c r="B66" s="239" t="s">
        <v>84</v>
      </c>
      <c r="C66" s="286" t="s">
        <v>2975</v>
      </c>
      <c r="D66" s="865" t="s">
        <v>2975</v>
      </c>
      <c r="E66" s="287" t="s">
        <v>3557</v>
      </c>
      <c r="F66" s="287" t="s">
        <v>3565</v>
      </c>
      <c r="G66" s="288" t="s">
        <v>3568</v>
      </c>
      <c r="H66" s="287">
        <v>43080</v>
      </c>
      <c r="I66" s="287" t="s">
        <v>2975</v>
      </c>
      <c r="J66" s="759" t="s">
        <v>3914</v>
      </c>
      <c r="L66" s="290" t="s">
        <v>3034</v>
      </c>
      <c r="M66" s="958">
        <v>1.37</v>
      </c>
      <c r="N66" s="724"/>
      <c r="O66" s="724"/>
      <c r="P66" s="291"/>
      <c r="Q66" s="729">
        <v>2336</v>
      </c>
      <c r="S66" s="293" t="s">
        <v>3034</v>
      </c>
      <c r="T66" s="461">
        <v>743</v>
      </c>
      <c r="U66" s="461">
        <v>796</v>
      </c>
      <c r="V66" s="461">
        <v>956</v>
      </c>
      <c r="W66" s="461">
        <v>1103</v>
      </c>
      <c r="X66" s="461">
        <v>1231</v>
      </c>
      <c r="Y66" s="461">
        <v>1358</v>
      </c>
      <c r="Z66" s="294"/>
      <c r="AK66" s="299" t="s">
        <v>3035</v>
      </c>
    </row>
    <row r="67" spans="1:37" x14ac:dyDescent="0.2">
      <c r="A67" s="944">
        <v>39007000703</v>
      </c>
      <c r="B67" s="239" t="s">
        <v>85</v>
      </c>
      <c r="C67" s="286" t="s">
        <v>4330</v>
      </c>
      <c r="D67" s="865" t="s">
        <v>4330</v>
      </c>
      <c r="E67" s="287" t="s">
        <v>3557</v>
      </c>
      <c r="F67" s="287" t="s">
        <v>5176</v>
      </c>
      <c r="G67" s="288" t="s">
        <v>3568</v>
      </c>
      <c r="H67" s="287">
        <v>43081</v>
      </c>
      <c r="I67" s="287" t="s">
        <v>2975</v>
      </c>
      <c r="J67" s="759" t="s">
        <v>3907</v>
      </c>
      <c r="L67" s="290" t="s">
        <v>3035</v>
      </c>
      <c r="M67" s="958">
        <v>0</v>
      </c>
      <c r="N67" s="724"/>
      <c r="O67" s="724"/>
      <c r="P67" s="291"/>
      <c r="Q67" s="729">
        <v>2336</v>
      </c>
      <c r="S67" s="293" t="s">
        <v>3035</v>
      </c>
      <c r="T67" s="461">
        <v>656</v>
      </c>
      <c r="U67" s="461">
        <v>703</v>
      </c>
      <c r="V67" s="461">
        <v>843</v>
      </c>
      <c r="W67" s="461">
        <v>973</v>
      </c>
      <c r="X67" s="461">
        <v>1086</v>
      </c>
      <c r="Y67" s="461">
        <v>1198</v>
      </c>
      <c r="Z67" s="294"/>
      <c r="AK67" s="299" t="s">
        <v>3036</v>
      </c>
    </row>
    <row r="68" spans="1:37" x14ac:dyDescent="0.2">
      <c r="A68" s="944">
        <v>39007000704</v>
      </c>
      <c r="B68" s="239" t="s">
        <v>86</v>
      </c>
      <c r="C68" s="286" t="s">
        <v>4330</v>
      </c>
      <c r="D68" s="865" t="s">
        <v>4330</v>
      </c>
      <c r="E68" s="287" t="s">
        <v>3557</v>
      </c>
      <c r="F68" s="287" t="s">
        <v>3558</v>
      </c>
      <c r="G68" s="288" t="s">
        <v>3568</v>
      </c>
      <c r="H68" s="287">
        <v>43082</v>
      </c>
      <c r="I68" s="287" t="s">
        <v>2975</v>
      </c>
      <c r="J68" s="759" t="s">
        <v>4371</v>
      </c>
      <c r="L68" s="290" t="s">
        <v>3036</v>
      </c>
      <c r="M68" s="958">
        <v>1.1000000000000001</v>
      </c>
      <c r="N68" s="724"/>
      <c r="O68" s="724"/>
      <c r="P68" s="291"/>
      <c r="Q68" s="729">
        <v>2336</v>
      </c>
      <c r="S68" s="293" t="s">
        <v>3036</v>
      </c>
      <c r="T68" s="461">
        <v>648</v>
      </c>
      <c r="U68" s="461">
        <v>695</v>
      </c>
      <c r="V68" s="461">
        <v>833</v>
      </c>
      <c r="W68" s="461">
        <v>963</v>
      </c>
      <c r="X68" s="461">
        <v>1075</v>
      </c>
      <c r="Y68" s="461">
        <v>1186</v>
      </c>
      <c r="Z68" s="294"/>
      <c r="AK68" s="299" t="s">
        <v>3037</v>
      </c>
    </row>
    <row r="69" spans="1:37" x14ac:dyDescent="0.2">
      <c r="A69" s="944">
        <v>39007000801</v>
      </c>
      <c r="B69" s="239" t="s">
        <v>87</v>
      </c>
      <c r="C69" s="286" t="s">
        <v>2975</v>
      </c>
      <c r="D69" s="865" t="s">
        <v>2975</v>
      </c>
      <c r="E69" s="287" t="s">
        <v>3557</v>
      </c>
      <c r="F69" s="287" t="s">
        <v>3559</v>
      </c>
      <c r="G69" s="288" t="s">
        <v>3568</v>
      </c>
      <c r="H69" s="287">
        <v>43084</v>
      </c>
      <c r="I69" s="287" t="s">
        <v>2975</v>
      </c>
      <c r="J69" s="759" t="s">
        <v>3915</v>
      </c>
      <c r="L69" s="290" t="s">
        <v>3037</v>
      </c>
      <c r="M69" s="958">
        <v>1.43</v>
      </c>
      <c r="N69" s="724"/>
      <c r="O69" s="724"/>
      <c r="P69" s="291"/>
      <c r="Q69" s="729">
        <v>2336</v>
      </c>
      <c r="S69" s="293" t="s">
        <v>3037</v>
      </c>
      <c r="T69" s="461">
        <v>820</v>
      </c>
      <c r="U69" s="461">
        <v>878</v>
      </c>
      <c r="V69" s="461">
        <v>1055</v>
      </c>
      <c r="W69" s="461">
        <v>1218</v>
      </c>
      <c r="X69" s="461">
        <v>1358</v>
      </c>
      <c r="Y69" s="461">
        <v>1499</v>
      </c>
      <c r="Z69" s="294"/>
      <c r="AK69" s="299" t="s">
        <v>3038</v>
      </c>
    </row>
    <row r="70" spans="1:37" x14ac:dyDescent="0.2">
      <c r="A70" s="944">
        <v>39007000802</v>
      </c>
      <c r="B70" s="239" t="s">
        <v>88</v>
      </c>
      <c r="C70" s="286" t="s">
        <v>2975</v>
      </c>
      <c r="D70" s="865" t="s">
        <v>2975</v>
      </c>
      <c r="E70" s="287" t="s">
        <v>3557</v>
      </c>
      <c r="F70" s="287" t="s">
        <v>3560</v>
      </c>
      <c r="G70" s="288" t="s">
        <v>3568</v>
      </c>
      <c r="H70" s="287">
        <v>43085</v>
      </c>
      <c r="I70" s="287" t="s">
        <v>2975</v>
      </c>
      <c r="J70" s="759" t="s">
        <v>3916</v>
      </c>
      <c r="L70" s="290" t="s">
        <v>3038</v>
      </c>
      <c r="M70" s="958">
        <v>1.55</v>
      </c>
      <c r="N70" s="724"/>
      <c r="O70" s="724"/>
      <c r="P70" s="291"/>
      <c r="Q70" s="729">
        <v>2336</v>
      </c>
      <c r="S70" s="293" t="s">
        <v>3038</v>
      </c>
      <c r="T70" s="461">
        <v>648</v>
      </c>
      <c r="U70" s="461">
        <v>695</v>
      </c>
      <c r="V70" s="461">
        <v>833</v>
      </c>
      <c r="W70" s="461">
        <v>963</v>
      </c>
      <c r="X70" s="461">
        <v>1075</v>
      </c>
      <c r="Y70" s="461">
        <v>1186</v>
      </c>
      <c r="Z70" s="294"/>
      <c r="AK70" s="299" t="s">
        <v>3039</v>
      </c>
    </row>
    <row r="71" spans="1:37" x14ac:dyDescent="0.2">
      <c r="A71" s="944">
        <v>39007000900</v>
      </c>
      <c r="B71" s="239" t="s">
        <v>89</v>
      </c>
      <c r="C71" s="286" t="s">
        <v>2975</v>
      </c>
      <c r="D71" s="865" t="s">
        <v>2975</v>
      </c>
      <c r="E71" s="287" t="s">
        <v>3564</v>
      </c>
      <c r="F71" s="287" t="s">
        <v>5176</v>
      </c>
      <c r="G71" s="288" t="s">
        <v>3568</v>
      </c>
      <c r="H71" s="287">
        <v>43101</v>
      </c>
      <c r="I71" s="287" t="s">
        <v>2975</v>
      </c>
      <c r="J71" s="759" t="s">
        <v>3911</v>
      </c>
      <c r="L71" s="290" t="s">
        <v>3039</v>
      </c>
      <c r="M71" s="958">
        <v>0.31</v>
      </c>
      <c r="N71" s="724"/>
      <c r="O71" s="724"/>
      <c r="P71" s="291"/>
      <c r="Q71" s="729">
        <v>2336</v>
      </c>
      <c r="S71" s="293" t="s">
        <v>3039</v>
      </c>
      <c r="T71" s="461">
        <v>717</v>
      </c>
      <c r="U71" s="461">
        <v>768</v>
      </c>
      <c r="V71" s="461">
        <v>922</v>
      </c>
      <c r="W71" s="461">
        <v>1066</v>
      </c>
      <c r="X71" s="461">
        <v>1190</v>
      </c>
      <c r="Y71" s="461">
        <v>1312</v>
      </c>
      <c r="Z71" s="294"/>
      <c r="AK71" s="299" t="s">
        <v>3040</v>
      </c>
    </row>
    <row r="72" spans="1:37" x14ac:dyDescent="0.2">
      <c r="A72" s="944">
        <v>39007001001</v>
      </c>
      <c r="B72" s="239" t="s">
        <v>90</v>
      </c>
      <c r="C72" s="286" t="s">
        <v>2975</v>
      </c>
      <c r="D72" s="865" t="s">
        <v>2975</v>
      </c>
      <c r="E72" s="287" t="s">
        <v>3564</v>
      </c>
      <c r="F72" s="287" t="s">
        <v>5176</v>
      </c>
      <c r="G72" s="288" t="s">
        <v>3568</v>
      </c>
      <c r="H72" s="287">
        <v>43102</v>
      </c>
      <c r="I72" s="287" t="s">
        <v>2975</v>
      </c>
      <c r="J72" s="759" t="s">
        <v>4372</v>
      </c>
      <c r="L72" s="290" t="s">
        <v>3040</v>
      </c>
      <c r="M72" s="958">
        <v>0</v>
      </c>
      <c r="N72" s="724"/>
      <c r="O72" s="724"/>
      <c r="P72" s="291"/>
      <c r="Q72" s="729">
        <v>2336</v>
      </c>
      <c r="S72" s="293" t="s">
        <v>3040</v>
      </c>
      <c r="T72" s="461">
        <v>688</v>
      </c>
      <c r="U72" s="461">
        <v>738</v>
      </c>
      <c r="V72" s="461">
        <v>886</v>
      </c>
      <c r="W72" s="461">
        <v>1023</v>
      </c>
      <c r="X72" s="461">
        <v>1141</v>
      </c>
      <c r="Y72" s="461">
        <v>1259</v>
      </c>
      <c r="Z72" s="294"/>
      <c r="AK72" s="299" t="s">
        <v>3041</v>
      </c>
    </row>
    <row r="73" spans="1:37" x14ac:dyDescent="0.2">
      <c r="A73" s="944">
        <v>39007001002</v>
      </c>
      <c r="B73" s="239" t="s">
        <v>91</v>
      </c>
      <c r="C73" s="286" t="s">
        <v>2975</v>
      </c>
      <c r="D73" s="865" t="s">
        <v>2975</v>
      </c>
      <c r="E73" s="287" t="s">
        <v>3563</v>
      </c>
      <c r="F73" s="287" t="s">
        <v>3565</v>
      </c>
      <c r="G73" s="288" t="s">
        <v>3568</v>
      </c>
      <c r="H73" s="287">
        <v>43103</v>
      </c>
      <c r="I73" s="287" t="s">
        <v>2975</v>
      </c>
      <c r="J73" s="759" t="s">
        <v>3910</v>
      </c>
      <c r="L73" s="290" t="s">
        <v>3041</v>
      </c>
      <c r="M73" s="958">
        <v>0</v>
      </c>
      <c r="N73" s="724"/>
      <c r="O73" s="724"/>
      <c r="P73" s="291"/>
      <c r="Q73" s="729">
        <v>2336</v>
      </c>
      <c r="S73" s="293" t="s">
        <v>3041</v>
      </c>
      <c r="T73" s="461">
        <v>755</v>
      </c>
      <c r="U73" s="461">
        <v>830</v>
      </c>
      <c r="V73" s="461">
        <v>996</v>
      </c>
      <c r="W73" s="461">
        <v>1150</v>
      </c>
      <c r="X73" s="461">
        <v>1283</v>
      </c>
      <c r="Y73" s="461">
        <v>1416</v>
      </c>
      <c r="Z73" s="294"/>
      <c r="AK73" s="299" t="s">
        <v>3042</v>
      </c>
    </row>
    <row r="74" spans="1:37" x14ac:dyDescent="0.2">
      <c r="A74" s="944">
        <v>39007001101</v>
      </c>
      <c r="B74" s="239" t="s">
        <v>92</v>
      </c>
      <c r="C74" s="286" t="s">
        <v>2975</v>
      </c>
      <c r="D74" s="865" t="s">
        <v>2975</v>
      </c>
      <c r="E74" s="287" t="s">
        <v>3564</v>
      </c>
      <c r="F74" s="287" t="s">
        <v>5176</v>
      </c>
      <c r="G74" s="288" t="s">
        <v>3568</v>
      </c>
      <c r="H74" s="287">
        <v>43105</v>
      </c>
      <c r="I74" s="287" t="s">
        <v>2975</v>
      </c>
      <c r="J74" s="759" t="s">
        <v>3080</v>
      </c>
      <c r="L74" s="290" t="s">
        <v>3042</v>
      </c>
      <c r="M74" s="958">
        <v>0.7</v>
      </c>
      <c r="N74" s="724"/>
      <c r="O74" s="724"/>
      <c r="P74" s="291"/>
      <c r="Q74" s="729">
        <v>2336</v>
      </c>
      <c r="S74" s="293" t="s">
        <v>3042</v>
      </c>
      <c r="T74" s="461">
        <v>648</v>
      </c>
      <c r="U74" s="461">
        <v>695</v>
      </c>
      <c r="V74" s="461">
        <v>833</v>
      </c>
      <c r="W74" s="461">
        <v>963</v>
      </c>
      <c r="X74" s="461">
        <v>1075</v>
      </c>
      <c r="Y74" s="461">
        <v>1186</v>
      </c>
      <c r="Z74" s="294"/>
      <c r="AK74" s="299" t="s">
        <v>3043</v>
      </c>
    </row>
    <row r="75" spans="1:37" x14ac:dyDescent="0.2">
      <c r="A75" s="944">
        <v>39007001102</v>
      </c>
      <c r="B75" s="239" t="s">
        <v>93</v>
      </c>
      <c r="C75" s="286" t="s">
        <v>2975</v>
      </c>
      <c r="D75" s="865" t="s">
        <v>2975</v>
      </c>
      <c r="E75" s="287" t="s">
        <v>3563</v>
      </c>
      <c r="F75" s="287" t="s">
        <v>3565</v>
      </c>
      <c r="G75" s="288" t="s">
        <v>3568</v>
      </c>
      <c r="H75" s="287">
        <v>43106</v>
      </c>
      <c r="I75" s="287" t="s">
        <v>2975</v>
      </c>
      <c r="J75" s="759"/>
      <c r="L75" s="290" t="s">
        <v>3043</v>
      </c>
      <c r="M75" s="958">
        <v>2.0699999999999998</v>
      </c>
      <c r="N75" s="724"/>
      <c r="O75" s="724"/>
      <c r="P75" s="291"/>
      <c r="Q75" s="729">
        <v>2336</v>
      </c>
      <c r="S75" s="293" t="s">
        <v>3043</v>
      </c>
      <c r="T75" s="461">
        <v>648</v>
      </c>
      <c r="U75" s="461">
        <v>695</v>
      </c>
      <c r="V75" s="461">
        <v>833</v>
      </c>
      <c r="W75" s="461">
        <v>963</v>
      </c>
      <c r="X75" s="461">
        <v>1075</v>
      </c>
      <c r="Y75" s="461">
        <v>1186</v>
      </c>
      <c r="Z75" s="294"/>
      <c r="AK75" s="299" t="s">
        <v>3044</v>
      </c>
    </row>
    <row r="76" spans="1:37" x14ac:dyDescent="0.2">
      <c r="A76" s="944">
        <v>39007001200</v>
      </c>
      <c r="B76" s="239" t="s">
        <v>94</v>
      </c>
      <c r="C76" s="286" t="s">
        <v>2975</v>
      </c>
      <c r="D76" s="865" t="s">
        <v>2975</v>
      </c>
      <c r="E76" s="287" t="s">
        <v>3564</v>
      </c>
      <c r="F76" s="287" t="s">
        <v>5176</v>
      </c>
      <c r="G76" s="288" t="s">
        <v>3568</v>
      </c>
      <c r="H76" s="287">
        <v>43107</v>
      </c>
      <c r="I76" s="287" t="s">
        <v>2975</v>
      </c>
      <c r="J76" s="757"/>
      <c r="K76" s="272"/>
      <c r="L76" s="290" t="s">
        <v>3044</v>
      </c>
      <c r="M76" s="958">
        <v>0.75</v>
      </c>
      <c r="N76" s="724"/>
      <c r="O76" s="724"/>
      <c r="P76" s="291"/>
      <c r="Q76" s="729">
        <v>2336</v>
      </c>
      <c r="S76" s="293" t="s">
        <v>3044</v>
      </c>
      <c r="T76" s="461">
        <v>651</v>
      </c>
      <c r="U76" s="461">
        <v>698</v>
      </c>
      <c r="V76" s="461">
        <v>837</v>
      </c>
      <c r="W76" s="461">
        <v>967</v>
      </c>
      <c r="X76" s="461">
        <v>1080</v>
      </c>
      <c r="Y76" s="461">
        <v>1191</v>
      </c>
      <c r="Z76" s="294"/>
      <c r="AK76" s="299" t="s">
        <v>3045</v>
      </c>
    </row>
    <row r="77" spans="1:37" x14ac:dyDescent="0.2">
      <c r="A77" s="944">
        <v>39007001301</v>
      </c>
      <c r="B77" s="239" t="s">
        <v>95</v>
      </c>
      <c r="C77" s="286" t="s">
        <v>2975</v>
      </c>
      <c r="D77" s="865" t="s">
        <v>2975</v>
      </c>
      <c r="E77" s="287" t="s">
        <v>3557</v>
      </c>
      <c r="F77" s="287" t="s">
        <v>3558</v>
      </c>
      <c r="G77" s="288" t="s">
        <v>3568</v>
      </c>
      <c r="H77" s="287">
        <v>43109</v>
      </c>
      <c r="I77" s="287" t="s">
        <v>2975</v>
      </c>
      <c r="J77" s="759"/>
      <c r="L77" s="290" t="s">
        <v>3045</v>
      </c>
      <c r="M77" s="958">
        <v>1.46</v>
      </c>
      <c r="N77" s="724"/>
      <c r="O77" s="724"/>
      <c r="P77" s="291"/>
      <c r="Q77" s="729">
        <v>2336</v>
      </c>
      <c r="S77" s="293" t="s">
        <v>3045</v>
      </c>
      <c r="T77" s="461">
        <v>648</v>
      </c>
      <c r="U77" s="461">
        <v>695</v>
      </c>
      <c r="V77" s="461">
        <v>833</v>
      </c>
      <c r="W77" s="461">
        <v>963</v>
      </c>
      <c r="X77" s="461">
        <v>1075</v>
      </c>
      <c r="Y77" s="461">
        <v>1186</v>
      </c>
      <c r="Z77" s="294"/>
      <c r="AK77" s="299" t="s">
        <v>3046</v>
      </c>
    </row>
    <row r="78" spans="1:37" x14ac:dyDescent="0.2">
      <c r="A78" s="944">
        <v>39007001302</v>
      </c>
      <c r="B78" s="239" t="s">
        <v>96</v>
      </c>
      <c r="C78" s="286" t="s">
        <v>2975</v>
      </c>
      <c r="D78" s="865" t="s">
        <v>2975</v>
      </c>
      <c r="E78" s="287" t="s">
        <v>3557</v>
      </c>
      <c r="F78" s="287" t="s">
        <v>3560</v>
      </c>
      <c r="G78" s="288" t="s">
        <v>3568</v>
      </c>
      <c r="H78" s="287">
        <v>43110</v>
      </c>
      <c r="I78" s="287" t="s">
        <v>2975</v>
      </c>
      <c r="J78" s="759"/>
      <c r="L78" s="290" t="s">
        <v>3046</v>
      </c>
      <c r="M78" s="958">
        <v>1.81</v>
      </c>
      <c r="N78" s="724"/>
      <c r="O78" s="724"/>
      <c r="P78" s="291"/>
      <c r="Q78" s="729">
        <v>2336</v>
      </c>
      <c r="S78" s="293" t="s">
        <v>3046</v>
      </c>
      <c r="T78" s="461">
        <v>648</v>
      </c>
      <c r="U78" s="461">
        <v>695</v>
      </c>
      <c r="V78" s="461">
        <v>833</v>
      </c>
      <c r="W78" s="461">
        <v>963</v>
      </c>
      <c r="X78" s="461">
        <v>1075</v>
      </c>
      <c r="Y78" s="461">
        <v>1186</v>
      </c>
      <c r="Z78" s="294"/>
      <c r="AK78" s="299" t="s">
        <v>3047</v>
      </c>
    </row>
    <row r="79" spans="1:37" x14ac:dyDescent="0.2">
      <c r="A79" s="944">
        <v>39007001400</v>
      </c>
      <c r="B79" s="239" t="s">
        <v>97</v>
      </c>
      <c r="C79" s="286" t="s">
        <v>2975</v>
      </c>
      <c r="D79" s="865" t="s">
        <v>2975</v>
      </c>
      <c r="E79" s="287" t="s">
        <v>3557</v>
      </c>
      <c r="F79" s="287" t="s">
        <v>3559</v>
      </c>
      <c r="G79" s="288" t="s">
        <v>3568</v>
      </c>
      <c r="H79" s="287">
        <v>43111</v>
      </c>
      <c r="I79" s="287" t="s">
        <v>2975</v>
      </c>
      <c r="J79" s="759"/>
      <c r="L79" s="290" t="s">
        <v>3047</v>
      </c>
      <c r="M79" s="958">
        <v>1.02</v>
      </c>
      <c r="N79" s="724"/>
      <c r="O79" s="724"/>
      <c r="P79" s="291"/>
      <c r="Q79" s="729">
        <v>2336</v>
      </c>
      <c r="S79" s="293" t="s">
        <v>3047</v>
      </c>
      <c r="T79" s="461">
        <v>752</v>
      </c>
      <c r="U79" s="461">
        <v>806</v>
      </c>
      <c r="V79" s="461">
        <v>967</v>
      </c>
      <c r="W79" s="461">
        <v>1116</v>
      </c>
      <c r="X79" s="461">
        <v>1246</v>
      </c>
      <c r="Y79" s="461">
        <v>1375</v>
      </c>
      <c r="Z79" s="294"/>
      <c r="AK79" s="299" t="s">
        <v>3048</v>
      </c>
    </row>
    <row r="80" spans="1:37" x14ac:dyDescent="0.2">
      <c r="A80" s="944">
        <v>39009972600</v>
      </c>
      <c r="B80" s="239" t="s">
        <v>98</v>
      </c>
      <c r="C80" s="286" t="s">
        <v>4330</v>
      </c>
      <c r="D80" s="865" t="s">
        <v>4330</v>
      </c>
      <c r="E80" s="287" t="s">
        <v>3557</v>
      </c>
      <c r="F80" s="287" t="s">
        <v>5176</v>
      </c>
      <c r="G80" s="288" t="s">
        <v>3568</v>
      </c>
      <c r="H80" s="287">
        <v>43112</v>
      </c>
      <c r="I80" s="287" t="s">
        <v>2975</v>
      </c>
      <c r="J80" s="759"/>
      <c r="L80" s="290" t="s">
        <v>3048</v>
      </c>
      <c r="M80" s="958">
        <v>0.73</v>
      </c>
      <c r="N80" s="724"/>
      <c r="O80" s="724"/>
      <c r="P80" s="291"/>
      <c r="Q80" s="292">
        <v>234</v>
      </c>
      <c r="S80" s="293" t="s">
        <v>3048</v>
      </c>
      <c r="T80" s="461">
        <v>673</v>
      </c>
      <c r="U80" s="461">
        <v>721</v>
      </c>
      <c r="V80" s="461">
        <v>866</v>
      </c>
      <c r="W80" s="461">
        <v>1000</v>
      </c>
      <c r="X80" s="461">
        <v>1116</v>
      </c>
      <c r="Y80" s="461">
        <v>1231</v>
      </c>
      <c r="Z80" s="294"/>
      <c r="AK80" s="299" t="s">
        <v>3049</v>
      </c>
    </row>
    <row r="81" spans="1:37" x14ac:dyDescent="0.2">
      <c r="A81" s="944">
        <v>39009972700</v>
      </c>
      <c r="B81" s="239" t="s">
        <v>99</v>
      </c>
      <c r="C81" s="286" t="s">
        <v>2975</v>
      </c>
      <c r="D81" s="865" t="s">
        <v>2975</v>
      </c>
      <c r="E81" s="287" t="s">
        <v>3557</v>
      </c>
      <c r="F81" s="287" t="s">
        <v>3565</v>
      </c>
      <c r="G81" s="288" t="s">
        <v>3568</v>
      </c>
      <c r="H81" s="287">
        <v>43113</v>
      </c>
      <c r="I81" s="287" t="s">
        <v>2975</v>
      </c>
      <c r="J81" s="757" t="s">
        <v>3925</v>
      </c>
      <c r="K81" s="272" t="s">
        <v>3926</v>
      </c>
      <c r="L81" s="290" t="s">
        <v>3049</v>
      </c>
      <c r="M81" s="958">
        <v>0.88</v>
      </c>
      <c r="N81" s="724"/>
      <c r="O81" s="724"/>
      <c r="P81" s="291"/>
      <c r="Q81" s="292">
        <v>394</v>
      </c>
      <c r="S81" s="293" t="s">
        <v>3049</v>
      </c>
      <c r="T81" s="461">
        <v>717</v>
      </c>
      <c r="U81" s="461">
        <v>768</v>
      </c>
      <c r="V81" s="461">
        <v>922</v>
      </c>
      <c r="W81" s="461">
        <v>1066</v>
      </c>
      <c r="X81" s="461">
        <v>1190</v>
      </c>
      <c r="Y81" s="461">
        <v>1312</v>
      </c>
      <c r="Z81" s="294"/>
      <c r="AK81" s="299" t="s">
        <v>3050</v>
      </c>
    </row>
    <row r="82" spans="1:37" x14ac:dyDescent="0.2">
      <c r="A82" s="944">
        <v>39009972800</v>
      </c>
      <c r="B82" s="239" t="s">
        <v>100</v>
      </c>
      <c r="C82" s="286" t="s">
        <v>4330</v>
      </c>
      <c r="D82" s="865" t="s">
        <v>4330</v>
      </c>
      <c r="E82" s="287" t="s">
        <v>3557</v>
      </c>
      <c r="F82" s="287" t="s">
        <v>3559</v>
      </c>
      <c r="G82" s="288" t="s">
        <v>3568</v>
      </c>
      <c r="H82" s="287">
        <v>43115</v>
      </c>
      <c r="I82" s="287" t="s">
        <v>2975</v>
      </c>
      <c r="J82" s="759" t="str">
        <f>IF('Development Team'!D6="","No Developer Listed",'Development Team'!D6)</f>
        <v>No Developer Listed</v>
      </c>
      <c r="K82" s="467" t="s">
        <v>4098</v>
      </c>
      <c r="L82" s="290" t="s">
        <v>3050</v>
      </c>
      <c r="M82" s="958">
        <v>0</v>
      </c>
      <c r="N82" s="724"/>
      <c r="O82" s="724"/>
      <c r="P82" s="291"/>
      <c r="Q82" s="729">
        <v>2336</v>
      </c>
      <c r="S82" s="293" t="s">
        <v>3050</v>
      </c>
      <c r="T82" s="461">
        <v>648</v>
      </c>
      <c r="U82" s="461">
        <v>695</v>
      </c>
      <c r="V82" s="461">
        <v>833</v>
      </c>
      <c r="W82" s="461">
        <v>963</v>
      </c>
      <c r="X82" s="461">
        <v>1075</v>
      </c>
      <c r="Y82" s="461">
        <v>1186</v>
      </c>
      <c r="Z82" s="294"/>
      <c r="AK82" s="299" t="s">
        <v>3051</v>
      </c>
    </row>
    <row r="83" spans="1:37" x14ac:dyDescent="0.2">
      <c r="A83" s="944">
        <v>39009972900</v>
      </c>
      <c r="B83" s="239" t="s">
        <v>101</v>
      </c>
      <c r="C83" s="286" t="s">
        <v>4330</v>
      </c>
      <c r="D83" s="865" t="s">
        <v>4330</v>
      </c>
      <c r="E83" s="287" t="s">
        <v>3566</v>
      </c>
      <c r="F83" s="287" t="s">
        <v>3565</v>
      </c>
      <c r="G83" s="288" t="s">
        <v>3568</v>
      </c>
      <c r="H83" s="287">
        <v>43116</v>
      </c>
      <c r="I83" s="287" t="s">
        <v>2975</v>
      </c>
      <c r="J83" s="759" t="str">
        <f>IF('Development Team'!J6="","No Co-Developer Listed",'Development Team'!J6)</f>
        <v>No Co-Developer Listed</v>
      </c>
      <c r="K83" s="467" t="s">
        <v>4099</v>
      </c>
      <c r="L83" s="290" t="s">
        <v>3051</v>
      </c>
      <c r="M83" s="958">
        <v>0.57999999999999996</v>
      </c>
      <c r="N83" s="724"/>
      <c r="O83" s="724"/>
      <c r="P83" s="291"/>
      <c r="Q83" s="729">
        <v>2336</v>
      </c>
      <c r="S83" s="293" t="s">
        <v>3051</v>
      </c>
      <c r="T83" s="461">
        <v>656</v>
      </c>
      <c r="U83" s="461">
        <v>703</v>
      </c>
      <c r="V83" s="461">
        <v>843</v>
      </c>
      <c r="W83" s="461">
        <v>973</v>
      </c>
      <c r="X83" s="461">
        <v>1086</v>
      </c>
      <c r="Y83" s="461">
        <v>1198</v>
      </c>
      <c r="Z83" s="294"/>
      <c r="AK83" s="299" t="s">
        <v>3052</v>
      </c>
    </row>
    <row r="84" spans="1:37" x14ac:dyDescent="0.2">
      <c r="A84" s="944">
        <v>39009973000</v>
      </c>
      <c r="B84" s="239" t="s">
        <v>102</v>
      </c>
      <c r="C84" s="286" t="s">
        <v>2975</v>
      </c>
      <c r="D84" s="865" t="s">
        <v>4330</v>
      </c>
      <c r="E84" s="287" t="s">
        <v>3562</v>
      </c>
      <c r="F84" s="287" t="s">
        <v>5177</v>
      </c>
      <c r="G84" s="288" t="s">
        <v>5175</v>
      </c>
      <c r="H84" s="287">
        <v>43117</v>
      </c>
      <c r="I84" s="287" t="s">
        <v>2975</v>
      </c>
      <c r="J84" s="759" t="str">
        <f>IF('Development Team'!D21="","No GC Listed",'Development Team'!D21)</f>
        <v>No GC Listed</v>
      </c>
      <c r="K84" s="467" t="s">
        <v>4100</v>
      </c>
      <c r="L84" s="290" t="s">
        <v>3052</v>
      </c>
      <c r="M84" s="958">
        <v>1.68</v>
      </c>
      <c r="N84" s="724"/>
      <c r="O84" s="724"/>
      <c r="P84" s="291"/>
      <c r="Q84" s="729">
        <v>2336</v>
      </c>
      <c r="S84" s="293" t="s">
        <v>3052</v>
      </c>
      <c r="T84" s="461">
        <v>963</v>
      </c>
      <c r="U84" s="461">
        <v>1032</v>
      </c>
      <c r="V84" s="461">
        <v>1238</v>
      </c>
      <c r="W84" s="461">
        <v>1431</v>
      </c>
      <c r="X84" s="461">
        <v>1597</v>
      </c>
      <c r="Y84" s="461">
        <v>1762</v>
      </c>
      <c r="Z84" s="294"/>
      <c r="AK84" s="299" t="s">
        <v>3053</v>
      </c>
    </row>
    <row r="85" spans="1:37" x14ac:dyDescent="0.2">
      <c r="A85" s="944">
        <v>39009973101</v>
      </c>
      <c r="B85" s="239" t="s">
        <v>103</v>
      </c>
      <c r="C85" s="286" t="s">
        <v>4330</v>
      </c>
      <c r="D85" s="865" t="s">
        <v>4330</v>
      </c>
      <c r="E85" s="287" t="s">
        <v>3563</v>
      </c>
      <c r="F85" s="287" t="s">
        <v>5177</v>
      </c>
      <c r="G85" s="288" t="s">
        <v>5175</v>
      </c>
      <c r="H85" s="287">
        <v>43119</v>
      </c>
      <c r="I85" s="287" t="s">
        <v>2975</v>
      </c>
      <c r="J85" s="759" t="str">
        <f>IF('Development Team'!D36="","No LP Listed",'Development Team'!D36)</f>
        <v>No LP Listed</v>
      </c>
      <c r="K85" s="467" t="s">
        <v>4101</v>
      </c>
      <c r="L85" s="290" t="s">
        <v>3053</v>
      </c>
      <c r="M85" s="958">
        <v>0</v>
      </c>
      <c r="N85" s="724"/>
      <c r="O85" s="724"/>
      <c r="P85" s="291"/>
      <c r="Q85" s="729">
        <v>2336</v>
      </c>
      <c r="S85" s="293" t="s">
        <v>3053</v>
      </c>
      <c r="T85" s="461">
        <v>648</v>
      </c>
      <c r="U85" s="461">
        <v>695</v>
      </c>
      <c r="V85" s="461">
        <v>833</v>
      </c>
      <c r="W85" s="461">
        <v>963</v>
      </c>
      <c r="X85" s="461">
        <v>1075</v>
      </c>
      <c r="Y85" s="461">
        <v>1186</v>
      </c>
      <c r="Z85" s="294"/>
      <c r="AK85" s="299" t="s">
        <v>3054</v>
      </c>
    </row>
    <row r="86" spans="1:37" ht="15" x14ac:dyDescent="0.25">
      <c r="A86" s="944">
        <v>39009973200</v>
      </c>
      <c r="B86" s="239" t="s">
        <v>104</v>
      </c>
      <c r="C86" s="286" t="s">
        <v>4330</v>
      </c>
      <c r="D86" s="865" t="s">
        <v>4330</v>
      </c>
      <c r="E86" s="287" t="s">
        <v>3562</v>
      </c>
      <c r="F86" s="287" t="s">
        <v>5177</v>
      </c>
      <c r="G86" s="288" t="s">
        <v>3568</v>
      </c>
      <c r="H86" s="287">
        <v>43123</v>
      </c>
      <c r="I86" s="287" t="s">
        <v>2975</v>
      </c>
      <c r="J86" s="761" t="str">
        <f>IF('Development Team'!J37="","No HDAP Recipient Listed",'Development Team'!J37)</f>
        <v>No HDAP Recipient Listed</v>
      </c>
      <c r="K86" s="468">
        <f>'Development Team'!J45</f>
        <v>0</v>
      </c>
      <c r="L86" s="290" t="s">
        <v>3054</v>
      </c>
      <c r="M86" s="958">
        <v>0</v>
      </c>
      <c r="N86" s="724"/>
      <c r="O86" s="724"/>
      <c r="P86" s="291"/>
      <c r="Q86" s="729">
        <v>2336</v>
      </c>
      <c r="S86" s="293" t="s">
        <v>3054</v>
      </c>
      <c r="T86" s="461">
        <v>648</v>
      </c>
      <c r="U86" s="461">
        <v>695</v>
      </c>
      <c r="V86" s="461">
        <v>833</v>
      </c>
      <c r="W86" s="461">
        <v>963</v>
      </c>
      <c r="X86" s="461">
        <v>1075</v>
      </c>
      <c r="Y86" s="461">
        <v>1186</v>
      </c>
      <c r="Z86" s="294"/>
      <c r="AK86" s="299" t="s">
        <v>3055</v>
      </c>
    </row>
    <row r="87" spans="1:37" ht="15" x14ac:dyDescent="0.25">
      <c r="A87" s="944">
        <v>39009973300</v>
      </c>
      <c r="B87" s="239" t="s">
        <v>105</v>
      </c>
      <c r="C87" s="286" t="s">
        <v>2975</v>
      </c>
      <c r="D87" s="865" t="s">
        <v>2975</v>
      </c>
      <c r="E87" s="287" t="s">
        <v>3562</v>
      </c>
      <c r="F87" s="287" t="s">
        <v>3559</v>
      </c>
      <c r="G87" s="288" t="s">
        <v>3568</v>
      </c>
      <c r="H87" s="287">
        <v>43125</v>
      </c>
      <c r="I87" s="287" t="s">
        <v>2975</v>
      </c>
      <c r="J87" s="761" t="str">
        <f>IF('Development Team'!D73="","No Majority Member Listed",'Development Team'!D73)</f>
        <v>No Majority Member Listed</v>
      </c>
      <c r="K87" s="468">
        <f>'Development Team'!D83</f>
        <v>0</v>
      </c>
      <c r="L87" s="290" t="s">
        <v>3055</v>
      </c>
      <c r="M87" s="958">
        <v>0</v>
      </c>
      <c r="N87" s="724"/>
      <c r="O87" s="724"/>
      <c r="P87" s="291"/>
      <c r="Q87" s="729">
        <v>2336</v>
      </c>
      <c r="S87" s="293" t="s">
        <v>3055</v>
      </c>
      <c r="T87" s="461">
        <v>836</v>
      </c>
      <c r="U87" s="461">
        <v>895</v>
      </c>
      <c r="V87" s="461">
        <v>1075</v>
      </c>
      <c r="W87" s="461">
        <v>1241</v>
      </c>
      <c r="X87" s="461">
        <v>1385</v>
      </c>
      <c r="Y87" s="461">
        <v>1528</v>
      </c>
      <c r="Z87" s="294"/>
      <c r="AK87" s="299" t="s">
        <v>3056</v>
      </c>
    </row>
    <row r="88" spans="1:37" ht="15" x14ac:dyDescent="0.25">
      <c r="A88" s="944">
        <v>39009973400</v>
      </c>
      <c r="B88" s="239" t="s">
        <v>106</v>
      </c>
      <c r="C88" s="286" t="s">
        <v>4330</v>
      </c>
      <c r="D88" s="865" t="s">
        <v>4330</v>
      </c>
      <c r="E88" s="287" t="s">
        <v>3564</v>
      </c>
      <c r="F88" s="287" t="s">
        <v>5177</v>
      </c>
      <c r="G88" s="288" t="s">
        <v>3568</v>
      </c>
      <c r="H88" s="287">
        <v>43126</v>
      </c>
      <c r="I88" s="287" t="s">
        <v>2975</v>
      </c>
      <c r="J88" s="761" t="str">
        <f>IF('Development Team'!D58="","No Managing Partner Listed",'Development Team'!D58)</f>
        <v>No Managing Partner Listed</v>
      </c>
      <c r="K88" s="468">
        <f>'Development Team'!D68</f>
        <v>0</v>
      </c>
      <c r="L88" s="290" t="s">
        <v>3056</v>
      </c>
      <c r="M88" s="958">
        <v>0.94</v>
      </c>
      <c r="N88" s="724"/>
      <c r="O88" s="724"/>
      <c r="P88" s="291"/>
      <c r="Q88" s="729">
        <v>2336</v>
      </c>
      <c r="S88" s="293" t="s">
        <v>3056</v>
      </c>
      <c r="T88" s="461">
        <v>648</v>
      </c>
      <c r="U88" s="461">
        <v>695</v>
      </c>
      <c r="V88" s="461">
        <v>833</v>
      </c>
      <c r="W88" s="461">
        <v>963</v>
      </c>
      <c r="X88" s="461">
        <v>1075</v>
      </c>
      <c r="Y88" s="461">
        <v>1186</v>
      </c>
      <c r="Z88" s="294"/>
      <c r="AK88" s="299" t="s">
        <v>3057</v>
      </c>
    </row>
    <row r="89" spans="1:37" ht="15" x14ac:dyDescent="0.25">
      <c r="A89" s="944">
        <v>39009973500</v>
      </c>
      <c r="B89" s="239" t="s">
        <v>107</v>
      </c>
      <c r="C89" s="286" t="s">
        <v>2975</v>
      </c>
      <c r="D89" s="865" t="s">
        <v>2975</v>
      </c>
      <c r="E89" s="287" t="s">
        <v>3564</v>
      </c>
      <c r="F89" s="287" t="s">
        <v>5176</v>
      </c>
      <c r="G89" s="288" t="s">
        <v>3568</v>
      </c>
      <c r="H89" s="287">
        <v>43127</v>
      </c>
      <c r="I89" s="287" t="s">
        <v>2975</v>
      </c>
      <c r="J89" s="761" t="str">
        <f>IF('Development Team'!D86="","No Minority Member 1 Listed",'Development Team'!D86)</f>
        <v>No Minority Member 1 Listed</v>
      </c>
      <c r="K89" s="468">
        <f>'Development Team'!D96</f>
        <v>0</v>
      </c>
      <c r="L89" s="290" t="s">
        <v>3057</v>
      </c>
      <c r="M89" s="958">
        <v>0.72</v>
      </c>
      <c r="N89" s="724"/>
      <c r="O89" s="724"/>
      <c r="P89" s="291"/>
      <c r="Q89" s="729">
        <v>2336</v>
      </c>
      <c r="S89" s="293" t="s">
        <v>3057</v>
      </c>
      <c r="T89" s="461">
        <v>701</v>
      </c>
      <c r="U89" s="461">
        <v>751</v>
      </c>
      <c r="V89" s="461">
        <v>901</v>
      </c>
      <c r="W89" s="461">
        <v>1041</v>
      </c>
      <c r="X89" s="461">
        <v>1162</v>
      </c>
      <c r="Y89" s="461">
        <v>1282</v>
      </c>
      <c r="Z89" s="294"/>
      <c r="AK89" s="299" t="s">
        <v>3058</v>
      </c>
    </row>
    <row r="90" spans="1:37" x14ac:dyDescent="0.2">
      <c r="A90" s="944">
        <v>39009973600</v>
      </c>
      <c r="B90" s="239" t="s">
        <v>108</v>
      </c>
      <c r="C90" s="286" t="s">
        <v>2975</v>
      </c>
      <c r="D90" s="865" t="s">
        <v>2975</v>
      </c>
      <c r="E90" s="287" t="s">
        <v>3564</v>
      </c>
      <c r="F90" s="287" t="s">
        <v>5176</v>
      </c>
      <c r="G90" s="288" t="s">
        <v>3568</v>
      </c>
      <c r="H90" s="287">
        <v>43128</v>
      </c>
      <c r="I90" s="287" t="s">
        <v>2975</v>
      </c>
      <c r="J90" s="759" t="str">
        <f>IF('Development Team'!D113="","No NonProfit #1 Listed",'Development Team'!D113)</f>
        <v>No NonProfit #1 Listed</v>
      </c>
      <c r="K90" s="467" t="s">
        <v>4102</v>
      </c>
      <c r="L90" s="290" t="s">
        <v>3058</v>
      </c>
      <c r="M90" s="958">
        <v>0</v>
      </c>
      <c r="N90" s="724"/>
      <c r="O90" s="724"/>
      <c r="P90" s="291"/>
      <c r="Q90" s="729">
        <v>2336</v>
      </c>
      <c r="S90" s="293" t="s">
        <v>3058</v>
      </c>
      <c r="T90" s="461">
        <v>648</v>
      </c>
      <c r="U90" s="461">
        <v>695</v>
      </c>
      <c r="V90" s="461">
        <v>833</v>
      </c>
      <c r="W90" s="461">
        <v>963</v>
      </c>
      <c r="X90" s="461">
        <v>1075</v>
      </c>
      <c r="Y90" s="461">
        <v>1186</v>
      </c>
      <c r="Z90" s="294"/>
      <c r="AK90" s="299" t="s">
        <v>3059</v>
      </c>
    </row>
    <row r="91" spans="1:37" x14ac:dyDescent="0.2">
      <c r="A91" s="944">
        <v>39009973700</v>
      </c>
      <c r="B91" s="239" t="s">
        <v>109</v>
      </c>
      <c r="C91" s="286" t="s">
        <v>2975</v>
      </c>
      <c r="D91" s="865" t="s">
        <v>2975</v>
      </c>
      <c r="E91" s="287" t="s">
        <v>3563</v>
      </c>
      <c r="F91" s="287" t="s">
        <v>5177</v>
      </c>
      <c r="G91" s="288" t="s">
        <v>3568</v>
      </c>
      <c r="H91" s="287">
        <v>43130</v>
      </c>
      <c r="I91" s="287" t="s">
        <v>2975</v>
      </c>
      <c r="J91" s="759" t="str">
        <f>IF('Development Team'!D133="","No NonProfit #2 Listed",'Development Team'!D133)</f>
        <v>No NonProfit #2 Listed</v>
      </c>
      <c r="K91" s="467" t="s">
        <v>4103</v>
      </c>
      <c r="L91" s="290" t="s">
        <v>3059</v>
      </c>
      <c r="M91" s="958">
        <v>0</v>
      </c>
      <c r="N91" s="724"/>
      <c r="O91" s="724"/>
      <c r="P91" s="291"/>
      <c r="Q91" s="729">
        <v>2336</v>
      </c>
      <c r="S91" s="293" t="s">
        <v>3059</v>
      </c>
      <c r="T91" s="461">
        <v>681</v>
      </c>
      <c r="U91" s="461">
        <v>730</v>
      </c>
      <c r="V91" s="461">
        <v>876</v>
      </c>
      <c r="W91" s="461">
        <v>1011</v>
      </c>
      <c r="X91" s="461">
        <v>1128</v>
      </c>
      <c r="Y91" s="461">
        <v>1245</v>
      </c>
      <c r="Z91" s="294"/>
      <c r="AK91" s="299" t="s">
        <v>3060</v>
      </c>
    </row>
    <row r="92" spans="1:37" ht="15" thickBot="1" x14ac:dyDescent="0.25">
      <c r="A92" s="944">
        <v>39009973800</v>
      </c>
      <c r="B92" s="239" t="s">
        <v>110</v>
      </c>
      <c r="C92" s="286" t="s">
        <v>2975</v>
      </c>
      <c r="D92" s="865" t="s">
        <v>2975</v>
      </c>
      <c r="E92" s="287" t="s">
        <v>3564</v>
      </c>
      <c r="F92" s="287" t="s">
        <v>5176</v>
      </c>
      <c r="G92" s="288" t="s">
        <v>3568</v>
      </c>
      <c r="H92" s="287">
        <v>43135</v>
      </c>
      <c r="I92" s="287" t="s">
        <v>2975</v>
      </c>
      <c r="J92" s="759" t="str">
        <f>IF('Development Team'!D154="","No Management Co. Listed",'Development Team'!D154)</f>
        <v>No Management Co. Listed</v>
      </c>
      <c r="K92" s="467" t="s">
        <v>4104</v>
      </c>
      <c r="L92" s="336" t="s">
        <v>3060</v>
      </c>
      <c r="M92" s="959">
        <v>2.59</v>
      </c>
      <c r="N92" s="725"/>
      <c r="O92" s="725"/>
      <c r="P92" s="337"/>
      <c r="Q92" s="729">
        <v>2336</v>
      </c>
      <c r="S92" s="338" t="s">
        <v>3060</v>
      </c>
      <c r="T92" s="462">
        <v>653</v>
      </c>
      <c r="U92" s="462">
        <v>700</v>
      </c>
      <c r="V92" s="462">
        <v>841</v>
      </c>
      <c r="W92" s="462">
        <v>971</v>
      </c>
      <c r="X92" s="462">
        <v>1083</v>
      </c>
      <c r="Y92" s="462">
        <v>1196</v>
      </c>
      <c r="Z92" s="339"/>
    </row>
    <row r="93" spans="1:37" x14ac:dyDescent="0.2">
      <c r="A93" s="944">
        <v>39009973901</v>
      </c>
      <c r="B93" s="239" t="s">
        <v>111</v>
      </c>
      <c r="C93" s="286" t="s">
        <v>4330</v>
      </c>
      <c r="D93" s="865" t="s">
        <v>4330</v>
      </c>
      <c r="E93" s="287" t="s">
        <v>3562</v>
      </c>
      <c r="F93" s="287" t="s">
        <v>3559</v>
      </c>
      <c r="G93" s="288" t="s">
        <v>3568</v>
      </c>
      <c r="H93" s="287">
        <v>43136</v>
      </c>
      <c r="I93" s="287" t="s">
        <v>2975</v>
      </c>
      <c r="J93" s="759" t="str">
        <f>IF('Development Team'!D174="","No Architect Listed",'Development Team'!D174)</f>
        <v>No Architect Listed</v>
      </c>
      <c r="K93" s="467" t="s">
        <v>4105</v>
      </c>
    </row>
    <row r="94" spans="1:37" x14ac:dyDescent="0.2">
      <c r="A94" s="944">
        <v>39009973902</v>
      </c>
      <c r="B94" s="239" t="s">
        <v>112</v>
      </c>
      <c r="C94" s="286" t="s">
        <v>4330</v>
      </c>
      <c r="D94" s="865" t="s">
        <v>4330</v>
      </c>
      <c r="E94" s="287" t="s">
        <v>3562</v>
      </c>
      <c r="F94" s="287" t="s">
        <v>5177</v>
      </c>
      <c r="G94" s="288" t="s">
        <v>5175</v>
      </c>
      <c r="H94" s="287">
        <v>43137</v>
      </c>
      <c r="I94" s="287" t="s">
        <v>2975</v>
      </c>
      <c r="J94" s="759"/>
      <c r="K94" s="333"/>
    </row>
    <row r="95" spans="1:37" x14ac:dyDescent="0.2">
      <c r="A95" s="944">
        <v>39011040100</v>
      </c>
      <c r="B95" s="239" t="s">
        <v>113</v>
      </c>
      <c r="C95" s="286" t="s">
        <v>2975</v>
      </c>
      <c r="D95" s="865" t="s">
        <v>2975</v>
      </c>
      <c r="E95" s="287" t="s">
        <v>3566</v>
      </c>
      <c r="F95" s="287" t="s">
        <v>3565</v>
      </c>
      <c r="G95" s="288" t="s">
        <v>3568</v>
      </c>
      <c r="H95" s="287">
        <v>43138</v>
      </c>
      <c r="I95" s="287" t="s">
        <v>2975</v>
      </c>
      <c r="J95" s="757" t="s">
        <v>3917</v>
      </c>
      <c r="K95" s="272"/>
    </row>
    <row r="96" spans="1:37" x14ac:dyDescent="0.2">
      <c r="A96" s="944">
        <v>39011040200</v>
      </c>
      <c r="B96" s="239" t="s">
        <v>114</v>
      </c>
      <c r="C96" s="286" t="s">
        <v>2975</v>
      </c>
      <c r="D96" s="865" t="s">
        <v>2975</v>
      </c>
      <c r="E96" s="287" t="s">
        <v>3566</v>
      </c>
      <c r="F96" s="287" t="s">
        <v>3558</v>
      </c>
      <c r="G96" s="288" t="s">
        <v>3568</v>
      </c>
      <c r="H96" s="287">
        <v>43140</v>
      </c>
      <c r="I96" s="287" t="s">
        <v>2975</v>
      </c>
      <c r="J96" s="759" t="s">
        <v>3894</v>
      </c>
    </row>
    <row r="97" spans="1:11" x14ac:dyDescent="0.2">
      <c r="A97" s="944">
        <v>39011040300</v>
      </c>
      <c r="B97" s="239" t="s">
        <v>115</v>
      </c>
      <c r="C97" s="286" t="s">
        <v>2975</v>
      </c>
      <c r="D97" s="865" t="s">
        <v>2975</v>
      </c>
      <c r="E97" s="287" t="s">
        <v>3566</v>
      </c>
      <c r="F97" s="287" t="s">
        <v>5177</v>
      </c>
      <c r="G97" s="288" t="s">
        <v>5175</v>
      </c>
      <c r="H97" s="287">
        <v>43142</v>
      </c>
      <c r="I97" s="287" t="s">
        <v>2975</v>
      </c>
      <c r="J97" s="759" t="s">
        <v>3895</v>
      </c>
    </row>
    <row r="98" spans="1:11" x14ac:dyDescent="0.2">
      <c r="A98" s="944">
        <v>39011040400</v>
      </c>
      <c r="B98" s="239" t="s">
        <v>116</v>
      </c>
      <c r="C98" s="286" t="s">
        <v>2975</v>
      </c>
      <c r="D98" s="865" t="s">
        <v>2975</v>
      </c>
      <c r="E98" s="287" t="s">
        <v>3563</v>
      </c>
      <c r="F98" s="287" t="s">
        <v>3558</v>
      </c>
      <c r="G98" s="288" t="s">
        <v>3568</v>
      </c>
      <c r="H98" s="287">
        <v>43143</v>
      </c>
      <c r="I98" s="287" t="s">
        <v>2975</v>
      </c>
      <c r="J98" s="759" t="s">
        <v>3918</v>
      </c>
    </row>
    <row r="99" spans="1:11" x14ac:dyDescent="0.2">
      <c r="A99" s="944">
        <v>39011040500</v>
      </c>
      <c r="B99" s="239" t="s">
        <v>117</v>
      </c>
      <c r="C99" s="286" t="s">
        <v>2975</v>
      </c>
      <c r="D99" s="865" t="s">
        <v>2975</v>
      </c>
      <c r="E99" s="287" t="s">
        <v>3563</v>
      </c>
      <c r="F99" s="287" t="s">
        <v>3558</v>
      </c>
      <c r="G99" s="288" t="s">
        <v>3568</v>
      </c>
      <c r="H99" s="287">
        <v>43144</v>
      </c>
      <c r="I99" s="287" t="s">
        <v>2975</v>
      </c>
      <c r="J99" s="759" t="s">
        <v>3919</v>
      </c>
    </row>
    <row r="100" spans="1:11" x14ac:dyDescent="0.2">
      <c r="A100" s="944">
        <v>39011040600</v>
      </c>
      <c r="B100" s="239" t="s">
        <v>118</v>
      </c>
      <c r="C100" s="286" t="s">
        <v>2975</v>
      </c>
      <c r="D100" s="865" t="s">
        <v>2975</v>
      </c>
      <c r="E100" s="287" t="s">
        <v>3563</v>
      </c>
      <c r="F100" s="287" t="s">
        <v>5177</v>
      </c>
      <c r="G100" s="288" t="s">
        <v>3568</v>
      </c>
      <c r="H100" s="287">
        <v>43145</v>
      </c>
      <c r="I100" s="287" t="s">
        <v>2975</v>
      </c>
      <c r="J100" s="759" t="s">
        <v>3920</v>
      </c>
    </row>
    <row r="101" spans="1:11" x14ac:dyDescent="0.2">
      <c r="A101" s="944">
        <v>39011040900</v>
      </c>
      <c r="B101" s="239" t="s">
        <v>119</v>
      </c>
      <c r="C101" s="286" t="s">
        <v>2975</v>
      </c>
      <c r="D101" s="865" t="s">
        <v>2975</v>
      </c>
      <c r="E101" s="287" t="s">
        <v>3562</v>
      </c>
      <c r="F101" s="287" t="s">
        <v>5177</v>
      </c>
      <c r="G101" s="288" t="s">
        <v>3568</v>
      </c>
      <c r="H101" s="287">
        <v>43146</v>
      </c>
      <c r="I101" s="287" t="s">
        <v>2975</v>
      </c>
      <c r="J101" s="759"/>
    </row>
    <row r="102" spans="1:11" x14ac:dyDescent="0.2">
      <c r="A102" s="944">
        <v>39011041000</v>
      </c>
      <c r="B102" s="239" t="s">
        <v>120</v>
      </c>
      <c r="C102" s="286" t="s">
        <v>2975</v>
      </c>
      <c r="D102" s="865" t="s">
        <v>2975</v>
      </c>
      <c r="E102" s="287" t="s">
        <v>3562</v>
      </c>
      <c r="F102" s="287" t="s">
        <v>3559</v>
      </c>
      <c r="G102" s="288" t="s">
        <v>3568</v>
      </c>
      <c r="H102" s="287">
        <v>43147</v>
      </c>
      <c r="I102" s="287" t="s">
        <v>2975</v>
      </c>
      <c r="J102" s="757" t="s">
        <v>3921</v>
      </c>
      <c r="K102" s="272"/>
    </row>
    <row r="103" spans="1:11" x14ac:dyDescent="0.2">
      <c r="A103" s="944">
        <v>39011041100</v>
      </c>
      <c r="B103" s="239" t="s">
        <v>121</v>
      </c>
      <c r="C103" s="286" t="s">
        <v>2975</v>
      </c>
      <c r="D103" s="865" t="s">
        <v>2975</v>
      </c>
      <c r="E103" s="287" t="s">
        <v>3563</v>
      </c>
      <c r="F103" s="287" t="s">
        <v>3558</v>
      </c>
      <c r="G103" s="288" t="s">
        <v>3568</v>
      </c>
      <c r="H103" s="287">
        <v>43148</v>
      </c>
      <c r="I103" s="287" t="s">
        <v>2975</v>
      </c>
      <c r="J103" s="759" t="s">
        <v>3445</v>
      </c>
    </row>
    <row r="104" spans="1:11" x14ac:dyDescent="0.2">
      <c r="A104" s="944">
        <v>39011041201</v>
      </c>
      <c r="B104" s="239" t="s">
        <v>122</v>
      </c>
      <c r="C104" s="286" t="s">
        <v>2975</v>
      </c>
      <c r="D104" s="865" t="s">
        <v>2975</v>
      </c>
      <c r="E104" s="287" t="s">
        <v>3563</v>
      </c>
      <c r="F104" s="287" t="s">
        <v>5177</v>
      </c>
      <c r="G104" s="288" t="s">
        <v>3568</v>
      </c>
      <c r="H104" s="287">
        <v>43149</v>
      </c>
      <c r="I104" s="287" t="s">
        <v>2975</v>
      </c>
      <c r="J104" s="759" t="s">
        <v>3923</v>
      </c>
    </row>
    <row r="105" spans="1:11" x14ac:dyDescent="0.2">
      <c r="A105" s="944">
        <v>39011041202</v>
      </c>
      <c r="B105" s="239" t="s">
        <v>123</v>
      </c>
      <c r="C105" s="286" t="s">
        <v>2975</v>
      </c>
      <c r="D105" s="865" t="s">
        <v>2975</v>
      </c>
      <c r="E105" s="287" t="s">
        <v>3563</v>
      </c>
      <c r="F105" s="287" t="s">
        <v>5177</v>
      </c>
      <c r="G105" s="288" t="s">
        <v>3568</v>
      </c>
      <c r="H105" s="287">
        <v>43150</v>
      </c>
      <c r="I105" s="287" t="s">
        <v>2975</v>
      </c>
      <c r="J105" s="759" t="s">
        <v>3922</v>
      </c>
    </row>
    <row r="106" spans="1:11" x14ac:dyDescent="0.2">
      <c r="A106" s="944">
        <v>39013010100</v>
      </c>
      <c r="B106" s="239" t="s">
        <v>124</v>
      </c>
      <c r="C106" s="286" t="s">
        <v>2975</v>
      </c>
      <c r="D106" s="865" t="s">
        <v>2975</v>
      </c>
      <c r="E106" s="287" t="s">
        <v>3557</v>
      </c>
      <c r="F106" s="287" t="s">
        <v>3558</v>
      </c>
      <c r="G106" s="288" t="s">
        <v>3568</v>
      </c>
      <c r="H106" s="287">
        <v>43151</v>
      </c>
      <c r="I106" s="287" t="s">
        <v>2975</v>
      </c>
      <c r="J106" s="759" t="s">
        <v>3080</v>
      </c>
    </row>
    <row r="107" spans="1:11" x14ac:dyDescent="0.2">
      <c r="A107" s="944">
        <v>39013010200</v>
      </c>
      <c r="B107" s="239" t="s">
        <v>125</v>
      </c>
      <c r="C107" s="286" t="s">
        <v>2975</v>
      </c>
      <c r="D107" s="865" t="s">
        <v>2975</v>
      </c>
      <c r="E107" s="287" t="s">
        <v>3564</v>
      </c>
      <c r="F107" s="287" t="s">
        <v>3558</v>
      </c>
      <c r="G107" s="288" t="s">
        <v>3568</v>
      </c>
      <c r="H107" s="287">
        <v>43152</v>
      </c>
      <c r="I107" s="287" t="s">
        <v>2975</v>
      </c>
      <c r="J107" s="759"/>
    </row>
    <row r="108" spans="1:11" x14ac:dyDescent="0.2">
      <c r="A108" s="944">
        <v>39013010300</v>
      </c>
      <c r="B108" s="239" t="s">
        <v>126</v>
      </c>
      <c r="C108" s="286" t="s">
        <v>2975</v>
      </c>
      <c r="D108" s="865" t="s">
        <v>2975</v>
      </c>
      <c r="E108" s="287" t="s">
        <v>3566</v>
      </c>
      <c r="F108" s="287" t="s">
        <v>5177</v>
      </c>
      <c r="G108" s="288" t="s">
        <v>3568</v>
      </c>
      <c r="H108" s="287">
        <v>43153</v>
      </c>
      <c r="I108" s="287" t="s">
        <v>2975</v>
      </c>
      <c r="J108" s="757" t="s">
        <v>3984</v>
      </c>
      <c r="K108" s="272"/>
    </row>
    <row r="109" spans="1:11" x14ac:dyDescent="0.2">
      <c r="A109" s="944">
        <v>39013010600</v>
      </c>
      <c r="B109" s="239" t="s">
        <v>127</v>
      </c>
      <c r="C109" s="286" t="s">
        <v>2975</v>
      </c>
      <c r="D109" s="865" t="s">
        <v>2975</v>
      </c>
      <c r="E109" s="287" t="s">
        <v>3564</v>
      </c>
      <c r="F109" s="287" t="s">
        <v>5176</v>
      </c>
      <c r="G109" s="288" t="s">
        <v>3568</v>
      </c>
      <c r="H109" s="287">
        <v>43154</v>
      </c>
      <c r="I109" s="287" t="s">
        <v>2975</v>
      </c>
      <c r="J109" s="759" t="s">
        <v>3975</v>
      </c>
    </row>
    <row r="110" spans="1:11" x14ac:dyDescent="0.2">
      <c r="A110" s="944">
        <v>39013010700</v>
      </c>
      <c r="B110" s="239" t="s">
        <v>128</v>
      </c>
      <c r="C110" s="286" t="s">
        <v>2975</v>
      </c>
      <c r="D110" s="865" t="s">
        <v>2975</v>
      </c>
      <c r="E110" s="287" t="s">
        <v>3566</v>
      </c>
      <c r="F110" s="287" t="s">
        <v>5176</v>
      </c>
      <c r="G110" s="288" t="s">
        <v>3568</v>
      </c>
      <c r="H110" s="287">
        <v>43155</v>
      </c>
      <c r="I110" s="287" t="s">
        <v>2975</v>
      </c>
      <c r="J110" s="759" t="s">
        <v>3976</v>
      </c>
    </row>
    <row r="111" spans="1:11" x14ac:dyDescent="0.2">
      <c r="A111" s="944">
        <v>39013010802</v>
      </c>
      <c r="B111" s="239" t="s">
        <v>129</v>
      </c>
      <c r="C111" s="286" t="s">
        <v>2975</v>
      </c>
      <c r="D111" s="865" t="s">
        <v>2975</v>
      </c>
      <c r="E111" s="287" t="s">
        <v>3564</v>
      </c>
      <c r="F111" s="287" t="s">
        <v>5177</v>
      </c>
      <c r="G111" s="288" t="s">
        <v>3568</v>
      </c>
      <c r="H111" s="287">
        <v>43156</v>
      </c>
      <c r="I111" s="287" t="s">
        <v>2975</v>
      </c>
      <c r="J111" s="759" t="s">
        <v>3977</v>
      </c>
    </row>
    <row r="112" spans="1:11" x14ac:dyDescent="0.2">
      <c r="A112" s="944">
        <v>39013010900</v>
      </c>
      <c r="B112" s="239" t="s">
        <v>130</v>
      </c>
      <c r="C112" s="286" t="s">
        <v>2975</v>
      </c>
      <c r="D112" s="865" t="s">
        <v>2975</v>
      </c>
      <c r="E112" s="287" t="s">
        <v>3564</v>
      </c>
      <c r="F112" s="287" t="s">
        <v>3559</v>
      </c>
      <c r="G112" s="288" t="s">
        <v>3568</v>
      </c>
      <c r="H112" s="287">
        <v>43157</v>
      </c>
      <c r="I112" s="287" t="s">
        <v>2975</v>
      </c>
      <c r="J112" s="759" t="s">
        <v>3978</v>
      </c>
    </row>
    <row r="113" spans="1:11" x14ac:dyDescent="0.2">
      <c r="A113" s="944">
        <v>39013011000</v>
      </c>
      <c r="B113" s="239" t="s">
        <v>131</v>
      </c>
      <c r="C113" s="286" t="s">
        <v>2975</v>
      </c>
      <c r="D113" s="865" t="s">
        <v>2975</v>
      </c>
      <c r="E113" s="287" t="s">
        <v>3557</v>
      </c>
      <c r="F113" s="287" t="s">
        <v>5176</v>
      </c>
      <c r="G113" s="288" t="s">
        <v>3568</v>
      </c>
      <c r="H113" s="287">
        <v>43158</v>
      </c>
      <c r="I113" s="287" t="s">
        <v>2975</v>
      </c>
      <c r="J113" s="759" t="s">
        <v>3979</v>
      </c>
    </row>
    <row r="114" spans="1:11" x14ac:dyDescent="0.2">
      <c r="A114" s="944">
        <v>39013011200</v>
      </c>
      <c r="B114" s="239" t="s">
        <v>132</v>
      </c>
      <c r="C114" s="286" t="s">
        <v>2975</v>
      </c>
      <c r="D114" s="865" t="s">
        <v>2975</v>
      </c>
      <c r="E114" s="287" t="s">
        <v>3564</v>
      </c>
      <c r="F114" s="287" t="s">
        <v>5177</v>
      </c>
      <c r="G114" s="288" t="s">
        <v>3568</v>
      </c>
      <c r="H114" s="287">
        <v>43160</v>
      </c>
      <c r="I114" s="287" t="s">
        <v>2975</v>
      </c>
      <c r="J114" s="759" t="s">
        <v>3980</v>
      </c>
    </row>
    <row r="115" spans="1:11" x14ac:dyDescent="0.2">
      <c r="A115" s="944">
        <v>39013011300</v>
      </c>
      <c r="B115" s="239" t="s">
        <v>133</v>
      </c>
      <c r="C115" s="286" t="s">
        <v>2975</v>
      </c>
      <c r="D115" s="865" t="s">
        <v>2975</v>
      </c>
      <c r="E115" s="287" t="s">
        <v>3564</v>
      </c>
      <c r="F115" s="287" t="s">
        <v>5177</v>
      </c>
      <c r="G115" s="288" t="s">
        <v>3569</v>
      </c>
      <c r="H115" s="287">
        <v>43162</v>
      </c>
      <c r="I115" s="287" t="s">
        <v>2975</v>
      </c>
      <c r="J115" s="759" t="s">
        <v>3981</v>
      </c>
    </row>
    <row r="116" spans="1:11" x14ac:dyDescent="0.2">
      <c r="A116" s="944">
        <v>39013011400</v>
      </c>
      <c r="B116" s="239" t="s">
        <v>134</v>
      </c>
      <c r="C116" s="286" t="s">
        <v>2975</v>
      </c>
      <c r="D116" s="865" t="s">
        <v>2975</v>
      </c>
      <c r="E116" s="287" t="s">
        <v>3564</v>
      </c>
      <c r="F116" s="287" t="s">
        <v>3565</v>
      </c>
      <c r="G116" s="288" t="s">
        <v>3568</v>
      </c>
      <c r="H116" s="287">
        <v>43164</v>
      </c>
      <c r="I116" s="287" t="s">
        <v>2975</v>
      </c>
      <c r="J116" s="759" t="s">
        <v>3982</v>
      </c>
    </row>
    <row r="117" spans="1:11" x14ac:dyDescent="0.2">
      <c r="A117" s="944">
        <v>39013011500</v>
      </c>
      <c r="B117" s="239" t="s">
        <v>135</v>
      </c>
      <c r="C117" s="286" t="s">
        <v>2975</v>
      </c>
      <c r="D117" s="865" t="s">
        <v>4330</v>
      </c>
      <c r="E117" s="287" t="s">
        <v>3557</v>
      </c>
      <c r="F117" s="287" t="s">
        <v>3565</v>
      </c>
      <c r="G117" s="288" t="s">
        <v>3569</v>
      </c>
      <c r="H117" s="287">
        <v>43201</v>
      </c>
      <c r="I117" s="287" t="s">
        <v>2975</v>
      </c>
      <c r="J117" s="759" t="s">
        <v>3983</v>
      </c>
    </row>
    <row r="118" spans="1:11" x14ac:dyDescent="0.2">
      <c r="A118" s="944">
        <v>39013011600</v>
      </c>
      <c r="B118" s="239" t="s">
        <v>136</v>
      </c>
      <c r="C118" s="286" t="s">
        <v>4330</v>
      </c>
      <c r="D118" s="865" t="s">
        <v>4330</v>
      </c>
      <c r="E118" s="287" t="s">
        <v>3557</v>
      </c>
      <c r="F118" s="287" t="s">
        <v>3558</v>
      </c>
      <c r="G118" s="288" t="s">
        <v>3569</v>
      </c>
      <c r="H118" s="287">
        <v>43202</v>
      </c>
      <c r="I118" s="287" t="s">
        <v>2975</v>
      </c>
      <c r="J118" s="759"/>
    </row>
    <row r="119" spans="1:11" x14ac:dyDescent="0.2">
      <c r="A119" s="944">
        <v>39013011700</v>
      </c>
      <c r="B119" s="239" t="s">
        <v>137</v>
      </c>
      <c r="C119" s="286" t="s">
        <v>4330</v>
      </c>
      <c r="D119" s="865" t="s">
        <v>4330</v>
      </c>
      <c r="E119" s="287" t="s">
        <v>3557</v>
      </c>
      <c r="F119" s="287" t="s">
        <v>5176</v>
      </c>
      <c r="G119" s="288" t="s">
        <v>3569</v>
      </c>
      <c r="H119" s="287">
        <v>43203</v>
      </c>
      <c r="I119" s="287" t="s">
        <v>2975</v>
      </c>
      <c r="J119" s="757" t="s">
        <v>5221</v>
      </c>
      <c r="K119" s="272" t="s">
        <v>4108</v>
      </c>
    </row>
    <row r="120" spans="1:11" x14ac:dyDescent="0.2">
      <c r="A120" s="944">
        <v>39013011900</v>
      </c>
      <c r="B120" s="239" t="s">
        <v>138</v>
      </c>
      <c r="C120" s="286" t="s">
        <v>2975</v>
      </c>
      <c r="D120" s="865" t="s">
        <v>2975</v>
      </c>
      <c r="E120" s="287" t="s">
        <v>3564</v>
      </c>
      <c r="F120" s="287" t="s">
        <v>5176</v>
      </c>
      <c r="G120" s="288" t="s">
        <v>3569</v>
      </c>
      <c r="H120" s="287">
        <v>43204</v>
      </c>
      <c r="I120" s="287" t="s">
        <v>2975</v>
      </c>
      <c r="J120" s="758" t="s">
        <v>5222</v>
      </c>
      <c r="K120" s="333"/>
    </row>
    <row r="121" spans="1:11" x14ac:dyDescent="0.2">
      <c r="A121" s="944">
        <v>39013012000</v>
      </c>
      <c r="B121" s="239" t="s">
        <v>139</v>
      </c>
      <c r="C121" s="286" t="s">
        <v>2975</v>
      </c>
      <c r="D121" s="865" t="s">
        <v>2975</v>
      </c>
      <c r="E121" s="287" t="s">
        <v>3557</v>
      </c>
      <c r="F121" s="287" t="s">
        <v>3558</v>
      </c>
      <c r="G121" s="288" t="s">
        <v>3569</v>
      </c>
      <c r="H121" s="287">
        <v>43205</v>
      </c>
      <c r="I121" s="287" t="s">
        <v>2975</v>
      </c>
      <c r="J121" s="759" t="s">
        <v>5223</v>
      </c>
      <c r="K121" s="469"/>
    </row>
    <row r="122" spans="1:11" x14ac:dyDescent="0.2">
      <c r="A122" s="944">
        <v>39013012100</v>
      </c>
      <c r="B122" s="239" t="s">
        <v>140</v>
      </c>
      <c r="C122" s="286" t="s">
        <v>4330</v>
      </c>
      <c r="D122" s="865" t="s">
        <v>4330</v>
      </c>
      <c r="E122" s="287" t="s">
        <v>3557</v>
      </c>
      <c r="F122" s="287" t="s">
        <v>3558</v>
      </c>
      <c r="G122" s="288" t="s">
        <v>3569</v>
      </c>
      <c r="H122" s="287">
        <v>43206</v>
      </c>
      <c r="I122" s="287" t="s">
        <v>2975</v>
      </c>
      <c r="J122" s="759" t="s">
        <v>5224</v>
      </c>
      <c r="K122" s="469"/>
    </row>
    <row r="123" spans="1:11" x14ac:dyDescent="0.2">
      <c r="A123" s="944">
        <v>39013012200</v>
      </c>
      <c r="B123" s="239" t="s">
        <v>141</v>
      </c>
      <c r="C123" s="286" t="s">
        <v>2975</v>
      </c>
      <c r="D123" s="865" t="s">
        <v>2975</v>
      </c>
      <c r="E123" s="287" t="s">
        <v>3562</v>
      </c>
      <c r="F123" s="287" t="s">
        <v>3558</v>
      </c>
      <c r="G123" s="288" t="s">
        <v>3568</v>
      </c>
      <c r="H123" s="287">
        <v>43207</v>
      </c>
      <c r="I123" s="287" t="s">
        <v>2975</v>
      </c>
      <c r="J123" s="759" t="s">
        <v>5225</v>
      </c>
      <c r="K123" s="469"/>
    </row>
    <row r="124" spans="1:11" x14ac:dyDescent="0.2">
      <c r="A124" s="944">
        <v>39013012300</v>
      </c>
      <c r="B124" s="239" t="s">
        <v>142</v>
      </c>
      <c r="C124" s="286" t="s">
        <v>2975</v>
      </c>
      <c r="D124" s="865" t="s">
        <v>2975</v>
      </c>
      <c r="E124" s="287" t="s">
        <v>3562</v>
      </c>
      <c r="F124" s="287" t="s">
        <v>3558</v>
      </c>
      <c r="G124" s="288" t="s">
        <v>3568</v>
      </c>
      <c r="H124" s="287">
        <v>43209</v>
      </c>
      <c r="I124" s="287" t="s">
        <v>2975</v>
      </c>
      <c r="J124" s="759" t="s">
        <v>5226</v>
      </c>
      <c r="K124" s="469"/>
    </row>
    <row r="125" spans="1:11" x14ac:dyDescent="0.2">
      <c r="A125" s="944">
        <v>39013012400</v>
      </c>
      <c r="B125" s="239" t="s">
        <v>143</v>
      </c>
      <c r="C125" s="286" t="s">
        <v>2975</v>
      </c>
      <c r="D125" s="865" t="s">
        <v>2975</v>
      </c>
      <c r="E125" s="287" t="s">
        <v>3562</v>
      </c>
      <c r="F125" s="287" t="s">
        <v>3559</v>
      </c>
      <c r="G125" s="288" t="s">
        <v>3568</v>
      </c>
      <c r="H125" s="287">
        <v>43210</v>
      </c>
      <c r="I125" s="287" t="s">
        <v>2975</v>
      </c>
      <c r="J125" s="759"/>
      <c r="K125" s="469"/>
    </row>
    <row r="126" spans="1:11" x14ac:dyDescent="0.2">
      <c r="A126" s="944">
        <v>39015951201</v>
      </c>
      <c r="B126" s="239" t="s">
        <v>144</v>
      </c>
      <c r="C126" s="286" t="s">
        <v>2975</v>
      </c>
      <c r="D126" s="865" t="s">
        <v>2975</v>
      </c>
      <c r="E126" s="287" t="s">
        <v>3564</v>
      </c>
      <c r="F126" s="287" t="s">
        <v>5177</v>
      </c>
      <c r="G126" s="288" t="s">
        <v>3568</v>
      </c>
      <c r="H126" s="287">
        <v>43211</v>
      </c>
      <c r="I126" s="287" t="s">
        <v>2975</v>
      </c>
      <c r="J126" s="759"/>
      <c r="K126" s="469"/>
    </row>
    <row r="127" spans="1:11" x14ac:dyDescent="0.2">
      <c r="A127" s="944">
        <v>39015951202</v>
      </c>
      <c r="B127" s="239" t="s">
        <v>145</v>
      </c>
      <c r="C127" s="286" t="s">
        <v>2975</v>
      </c>
      <c r="D127" s="865" t="s">
        <v>2975</v>
      </c>
      <c r="E127" s="287" t="s">
        <v>3564</v>
      </c>
      <c r="F127" s="287" t="s">
        <v>5177</v>
      </c>
      <c r="G127" s="288" t="s">
        <v>3568</v>
      </c>
      <c r="H127" s="287">
        <v>43212</v>
      </c>
      <c r="I127" s="287" t="s">
        <v>2975</v>
      </c>
      <c r="J127" s="759"/>
      <c r="K127" s="469"/>
    </row>
    <row r="128" spans="1:11" x14ac:dyDescent="0.2">
      <c r="A128" s="944">
        <v>39015951300</v>
      </c>
      <c r="B128" s="239" t="s">
        <v>146</v>
      </c>
      <c r="C128" s="286" t="s">
        <v>2975</v>
      </c>
      <c r="D128" s="865" t="s">
        <v>2975</v>
      </c>
      <c r="E128" s="287" t="s">
        <v>3564</v>
      </c>
      <c r="F128" s="287" t="s">
        <v>3559</v>
      </c>
      <c r="G128" s="288" t="s">
        <v>3568</v>
      </c>
      <c r="H128" s="287">
        <v>43213</v>
      </c>
      <c r="I128" s="287" t="s">
        <v>2975</v>
      </c>
      <c r="J128" s="759"/>
      <c r="K128" s="469"/>
    </row>
    <row r="129" spans="1:11" x14ac:dyDescent="0.2">
      <c r="A129" s="944">
        <v>39015951400</v>
      </c>
      <c r="B129" s="239" t="s">
        <v>147</v>
      </c>
      <c r="C129" s="286" t="s">
        <v>2975</v>
      </c>
      <c r="D129" s="865" t="s">
        <v>2975</v>
      </c>
      <c r="E129" s="287" t="s">
        <v>3557</v>
      </c>
      <c r="F129" s="287" t="s">
        <v>3565</v>
      </c>
      <c r="G129" s="288" t="s">
        <v>3568</v>
      </c>
      <c r="H129" s="287">
        <v>43214</v>
      </c>
      <c r="I129" s="287" t="s">
        <v>2975</v>
      </c>
      <c r="J129" s="759"/>
      <c r="K129" s="469"/>
    </row>
    <row r="130" spans="1:11" x14ac:dyDescent="0.2">
      <c r="A130" s="944">
        <v>39015951500</v>
      </c>
      <c r="B130" s="239" t="s">
        <v>148</v>
      </c>
      <c r="C130" s="286" t="s">
        <v>2975</v>
      </c>
      <c r="D130" s="865" t="s">
        <v>2975</v>
      </c>
      <c r="E130" s="287" t="s">
        <v>3564</v>
      </c>
      <c r="F130" s="287" t="s">
        <v>3558</v>
      </c>
      <c r="G130" s="288" t="s">
        <v>3568</v>
      </c>
      <c r="H130" s="287">
        <v>43215</v>
      </c>
      <c r="I130" s="287" t="s">
        <v>2975</v>
      </c>
      <c r="J130" s="758"/>
    </row>
    <row r="131" spans="1:11" x14ac:dyDescent="0.2">
      <c r="A131" s="944">
        <v>39015951600</v>
      </c>
      <c r="B131" s="239" t="s">
        <v>149</v>
      </c>
      <c r="C131" s="286" t="s">
        <v>2975</v>
      </c>
      <c r="D131" s="865" t="s">
        <v>2975</v>
      </c>
      <c r="E131" s="287" t="s">
        <v>3557</v>
      </c>
      <c r="F131" s="287" t="s">
        <v>3559</v>
      </c>
      <c r="G131" s="288" t="s">
        <v>3568</v>
      </c>
      <c r="H131" s="287">
        <v>43217</v>
      </c>
      <c r="I131" s="287" t="s">
        <v>2975</v>
      </c>
      <c r="J131" s="758"/>
    </row>
    <row r="132" spans="1:11" x14ac:dyDescent="0.2">
      <c r="A132" s="944">
        <v>39015951700</v>
      </c>
      <c r="B132" s="239" t="s">
        <v>150</v>
      </c>
      <c r="C132" s="286" t="s">
        <v>2975</v>
      </c>
      <c r="D132" s="865" t="s">
        <v>2975</v>
      </c>
      <c r="E132" s="287" t="s">
        <v>3557</v>
      </c>
      <c r="F132" s="287" t="s">
        <v>3565</v>
      </c>
      <c r="G132" s="288" t="s">
        <v>3568</v>
      </c>
      <c r="H132" s="287">
        <v>43219</v>
      </c>
      <c r="I132" s="287" t="s">
        <v>2975</v>
      </c>
      <c r="J132" s="757" t="s">
        <v>4305</v>
      </c>
      <c r="K132" s="272"/>
    </row>
    <row r="133" spans="1:11" x14ac:dyDescent="0.2">
      <c r="A133" s="944">
        <v>39015951800</v>
      </c>
      <c r="B133" s="239" t="s">
        <v>151</v>
      </c>
      <c r="C133" s="286" t="s">
        <v>4330</v>
      </c>
      <c r="D133" s="865" t="s">
        <v>4330</v>
      </c>
      <c r="E133" s="287" t="s">
        <v>3557</v>
      </c>
      <c r="F133" s="287" t="s">
        <v>3565</v>
      </c>
      <c r="G133" s="288" t="s">
        <v>3568</v>
      </c>
      <c r="H133" s="287">
        <v>43220</v>
      </c>
      <c r="I133" s="287" t="s">
        <v>2975</v>
      </c>
      <c r="J133" s="758" t="s">
        <v>5231</v>
      </c>
      <c r="K133" s="333"/>
    </row>
    <row r="134" spans="1:11" x14ac:dyDescent="0.2">
      <c r="A134" s="944">
        <v>39015951900</v>
      </c>
      <c r="B134" s="239" t="s">
        <v>152</v>
      </c>
      <c r="C134" s="286" t="s">
        <v>2975</v>
      </c>
      <c r="D134" s="865" t="s">
        <v>2975</v>
      </c>
      <c r="E134" s="287" t="s">
        <v>3557</v>
      </c>
      <c r="F134" s="287" t="s">
        <v>3565</v>
      </c>
      <c r="G134" s="288" t="s">
        <v>3568</v>
      </c>
      <c r="H134" s="287">
        <v>43221</v>
      </c>
      <c r="I134" s="287" t="s">
        <v>2975</v>
      </c>
      <c r="J134" s="759" t="s">
        <v>5232</v>
      </c>
      <c r="K134" s="469"/>
    </row>
    <row r="135" spans="1:11" x14ac:dyDescent="0.2">
      <c r="A135" s="944">
        <v>39017000100</v>
      </c>
      <c r="B135" s="239" t="s">
        <v>153</v>
      </c>
      <c r="C135" s="286" t="s">
        <v>2975</v>
      </c>
      <c r="D135" s="865" t="s">
        <v>2975</v>
      </c>
      <c r="E135" s="287" t="s">
        <v>3563</v>
      </c>
      <c r="F135" s="287" t="s">
        <v>5176</v>
      </c>
      <c r="G135" s="288" t="s">
        <v>3553</v>
      </c>
      <c r="H135" s="287">
        <v>43222</v>
      </c>
      <c r="I135" s="287" t="s">
        <v>2975</v>
      </c>
      <c r="J135" s="759" t="s">
        <v>5233</v>
      </c>
      <c r="K135" s="469"/>
    </row>
    <row r="136" spans="1:11" x14ac:dyDescent="0.2">
      <c r="A136" s="944">
        <v>39017000200</v>
      </c>
      <c r="B136" s="239" t="s">
        <v>154</v>
      </c>
      <c r="C136" s="286" t="s">
        <v>2975</v>
      </c>
      <c r="D136" s="865" t="s">
        <v>2975</v>
      </c>
      <c r="E136" s="287" t="s">
        <v>3566</v>
      </c>
      <c r="F136" s="287" t="s">
        <v>3565</v>
      </c>
      <c r="G136" s="288" t="s">
        <v>3553</v>
      </c>
      <c r="H136" s="287">
        <v>43223</v>
      </c>
      <c r="I136" s="287" t="s">
        <v>2975</v>
      </c>
      <c r="J136" s="759" t="s">
        <v>5234</v>
      </c>
      <c r="K136" s="469"/>
    </row>
    <row r="137" spans="1:11" x14ac:dyDescent="0.2">
      <c r="A137" s="944">
        <v>39017000300</v>
      </c>
      <c r="B137" s="239" t="s">
        <v>155</v>
      </c>
      <c r="C137" s="286" t="s">
        <v>4330</v>
      </c>
      <c r="D137" s="865" t="s">
        <v>4330</v>
      </c>
      <c r="E137" s="287" t="s">
        <v>3557</v>
      </c>
      <c r="F137" s="287" t="s">
        <v>3559</v>
      </c>
      <c r="G137" s="288" t="s">
        <v>3553</v>
      </c>
      <c r="H137" s="287">
        <v>43224</v>
      </c>
      <c r="I137" s="287" t="s">
        <v>2975</v>
      </c>
      <c r="J137" s="759" t="s">
        <v>5235</v>
      </c>
      <c r="K137" s="469"/>
    </row>
    <row r="138" spans="1:11" x14ac:dyDescent="0.2">
      <c r="A138" s="944">
        <v>39017000400</v>
      </c>
      <c r="B138" s="239" t="s">
        <v>156</v>
      </c>
      <c r="C138" s="286" t="s">
        <v>4330</v>
      </c>
      <c r="D138" s="865" t="s">
        <v>4330</v>
      </c>
      <c r="E138" s="287" t="s">
        <v>3564</v>
      </c>
      <c r="F138" s="287" t="s">
        <v>5177</v>
      </c>
      <c r="G138" s="288" t="s">
        <v>3553</v>
      </c>
      <c r="H138" s="287">
        <v>43227</v>
      </c>
      <c r="I138" s="287" t="s">
        <v>2975</v>
      </c>
      <c r="J138" s="759" t="s">
        <v>5236</v>
      </c>
      <c r="K138" s="469"/>
    </row>
    <row r="139" spans="1:11" x14ac:dyDescent="0.2">
      <c r="A139" s="944">
        <v>39017000500</v>
      </c>
      <c r="B139" s="239" t="s">
        <v>157</v>
      </c>
      <c r="C139" s="286" t="s">
        <v>4330</v>
      </c>
      <c r="D139" s="865" t="s">
        <v>4330</v>
      </c>
      <c r="E139" s="287" t="s">
        <v>3566</v>
      </c>
      <c r="F139" s="287" t="s">
        <v>3565</v>
      </c>
      <c r="G139" s="288" t="s">
        <v>3553</v>
      </c>
      <c r="H139" s="287">
        <v>43228</v>
      </c>
      <c r="I139" s="287" t="s">
        <v>2975</v>
      </c>
      <c r="J139" s="759" t="s">
        <v>5237</v>
      </c>
      <c r="K139" s="469"/>
    </row>
    <row r="140" spans="1:11" x14ac:dyDescent="0.2">
      <c r="A140" s="944">
        <v>39017000600</v>
      </c>
      <c r="B140" s="239" t="s">
        <v>158</v>
      </c>
      <c r="C140" s="286" t="s">
        <v>4330</v>
      </c>
      <c r="D140" s="865" t="s">
        <v>4330</v>
      </c>
      <c r="E140" s="287" t="s">
        <v>3564</v>
      </c>
      <c r="F140" s="287" t="s">
        <v>3565</v>
      </c>
      <c r="G140" s="288" t="s">
        <v>3553</v>
      </c>
      <c r="H140" s="287">
        <v>43229</v>
      </c>
      <c r="I140" s="287" t="s">
        <v>2975</v>
      </c>
      <c r="J140" s="759" t="s">
        <v>5238</v>
      </c>
      <c r="K140" s="469"/>
    </row>
    <row r="141" spans="1:11" x14ac:dyDescent="0.2">
      <c r="A141" s="944">
        <v>39017001001</v>
      </c>
      <c r="B141" s="239" t="s">
        <v>159</v>
      </c>
      <c r="C141" s="286" t="s">
        <v>2975</v>
      </c>
      <c r="D141" s="865" t="s">
        <v>2975</v>
      </c>
      <c r="E141" s="287" t="s">
        <v>3564</v>
      </c>
      <c r="F141" s="287" t="s">
        <v>3559</v>
      </c>
      <c r="G141" s="288" t="s">
        <v>3569</v>
      </c>
      <c r="H141" s="287">
        <v>43230</v>
      </c>
      <c r="I141" s="287" t="s">
        <v>2975</v>
      </c>
      <c r="J141" s="759" t="s">
        <v>5239</v>
      </c>
      <c r="K141" s="469"/>
    </row>
    <row r="142" spans="1:11" x14ac:dyDescent="0.2">
      <c r="A142" s="944">
        <v>39017001002</v>
      </c>
      <c r="B142" s="239" t="s">
        <v>160</v>
      </c>
      <c r="C142" s="286" t="s">
        <v>2975</v>
      </c>
      <c r="D142" s="865" t="s">
        <v>2975</v>
      </c>
      <c r="E142" s="287" t="s">
        <v>3566</v>
      </c>
      <c r="F142" s="287" t="s">
        <v>5177</v>
      </c>
      <c r="G142" s="288" t="s">
        <v>3569</v>
      </c>
      <c r="H142" s="287">
        <v>43231</v>
      </c>
      <c r="I142" s="287" t="s">
        <v>2975</v>
      </c>
      <c r="J142" s="759" t="s">
        <v>5240</v>
      </c>
      <c r="K142" s="469"/>
    </row>
    <row r="143" spans="1:11" x14ac:dyDescent="0.2">
      <c r="A143" s="944">
        <v>39017001100</v>
      </c>
      <c r="B143" s="239" t="s">
        <v>161</v>
      </c>
      <c r="C143" s="286" t="s">
        <v>4330</v>
      </c>
      <c r="D143" s="865" t="s">
        <v>4330</v>
      </c>
      <c r="E143" s="287" t="s">
        <v>3566</v>
      </c>
      <c r="F143" s="287" t="s">
        <v>3558</v>
      </c>
      <c r="G143" s="288" t="s">
        <v>3553</v>
      </c>
      <c r="H143" s="287">
        <v>43232</v>
      </c>
      <c r="I143" s="287" t="s">
        <v>2975</v>
      </c>
      <c r="J143" s="758"/>
      <c r="K143" s="333"/>
    </row>
    <row r="144" spans="1:11" x14ac:dyDescent="0.2">
      <c r="A144" s="944">
        <v>39017001300</v>
      </c>
      <c r="B144" s="239" t="s">
        <v>162</v>
      </c>
      <c r="C144" s="286" t="s">
        <v>2975</v>
      </c>
      <c r="D144" s="865" t="s">
        <v>2975</v>
      </c>
      <c r="E144" s="287" t="s">
        <v>3557</v>
      </c>
      <c r="F144" s="287" t="s">
        <v>5176</v>
      </c>
      <c r="G144" s="288" t="s">
        <v>3569</v>
      </c>
      <c r="H144" s="287">
        <v>43235</v>
      </c>
      <c r="I144" s="287" t="s">
        <v>2975</v>
      </c>
      <c r="J144" s="758"/>
    </row>
    <row r="145" spans="1:11" x14ac:dyDescent="0.2">
      <c r="A145" s="944">
        <v>39017010101</v>
      </c>
      <c r="B145" s="239" t="s">
        <v>163</v>
      </c>
      <c r="C145" s="286" t="s">
        <v>4330</v>
      </c>
      <c r="D145" s="865" t="s">
        <v>4330</v>
      </c>
      <c r="E145" s="287" t="s">
        <v>3562</v>
      </c>
      <c r="F145" s="287" t="s">
        <v>5176</v>
      </c>
      <c r="G145" s="288" t="s">
        <v>5175</v>
      </c>
      <c r="H145" s="287">
        <v>43240</v>
      </c>
      <c r="I145" s="287" t="s">
        <v>2975</v>
      </c>
      <c r="J145" s="757" t="s">
        <v>3554</v>
      </c>
      <c r="K145" s="272" t="s">
        <v>4205</v>
      </c>
    </row>
    <row r="146" spans="1:11" x14ac:dyDescent="0.2">
      <c r="A146" s="944">
        <v>39017010102</v>
      </c>
      <c r="B146" s="239" t="s">
        <v>164</v>
      </c>
      <c r="C146" s="286" t="s">
        <v>4330</v>
      </c>
      <c r="D146" s="865" t="s">
        <v>2975</v>
      </c>
      <c r="E146" s="287" t="s">
        <v>3562</v>
      </c>
      <c r="F146" s="287" t="s">
        <v>5177</v>
      </c>
      <c r="G146" s="288" t="s">
        <v>3568</v>
      </c>
      <c r="H146" s="287">
        <v>43302</v>
      </c>
      <c r="I146" s="287" t="s">
        <v>2975</v>
      </c>
      <c r="J146" s="759"/>
    </row>
    <row r="147" spans="1:11" x14ac:dyDescent="0.2">
      <c r="A147" s="944">
        <v>39017010103</v>
      </c>
      <c r="B147" s="239" t="s">
        <v>165</v>
      </c>
      <c r="C147" s="286" t="s">
        <v>4330</v>
      </c>
      <c r="D147" s="865" t="s">
        <v>2975</v>
      </c>
      <c r="E147" s="287" t="s">
        <v>3562</v>
      </c>
      <c r="F147" s="287" t="s">
        <v>5176</v>
      </c>
      <c r="G147" s="288" t="s">
        <v>3568</v>
      </c>
      <c r="H147" s="287">
        <v>43310</v>
      </c>
      <c r="I147" s="287" t="s">
        <v>2975</v>
      </c>
      <c r="J147" s="759"/>
      <c r="K147" s="470"/>
    </row>
    <row r="148" spans="1:11" x14ac:dyDescent="0.2">
      <c r="A148" s="944">
        <v>39017010104</v>
      </c>
      <c r="B148" s="239" t="s">
        <v>166</v>
      </c>
      <c r="C148" s="286" t="s">
        <v>2975</v>
      </c>
      <c r="D148" s="865" t="s">
        <v>4330</v>
      </c>
      <c r="E148" s="287" t="s">
        <v>3563</v>
      </c>
      <c r="F148" s="287"/>
      <c r="G148" s="288" t="s">
        <v>3568</v>
      </c>
      <c r="H148" s="287">
        <v>43311</v>
      </c>
      <c r="I148" s="287" t="s">
        <v>2975</v>
      </c>
      <c r="J148" s="759"/>
      <c r="K148" s="470"/>
    </row>
    <row r="149" spans="1:11" x14ac:dyDescent="0.2">
      <c r="A149" s="944">
        <v>39017010201</v>
      </c>
      <c r="B149" s="239" t="s">
        <v>167</v>
      </c>
      <c r="C149" s="286" t="s">
        <v>2975</v>
      </c>
      <c r="D149" s="865" t="s">
        <v>2975</v>
      </c>
      <c r="E149" s="287" t="s">
        <v>3562</v>
      </c>
      <c r="F149" s="287"/>
      <c r="G149" s="288" t="s">
        <v>3568</v>
      </c>
      <c r="H149" s="287">
        <v>43314</v>
      </c>
      <c r="I149" s="287" t="s">
        <v>2975</v>
      </c>
      <c r="J149" s="759"/>
      <c r="K149" s="470"/>
    </row>
    <row r="150" spans="1:11" x14ac:dyDescent="0.2">
      <c r="A150" s="944">
        <v>39017010202</v>
      </c>
      <c r="B150" s="239" t="s">
        <v>168</v>
      </c>
      <c r="C150" s="286" t="s">
        <v>2975</v>
      </c>
      <c r="D150" s="865" t="s">
        <v>2975</v>
      </c>
      <c r="E150" s="287" t="s">
        <v>3563</v>
      </c>
      <c r="F150" s="287" t="s">
        <v>3565</v>
      </c>
      <c r="G150" s="288" t="s">
        <v>3568</v>
      </c>
      <c r="H150" s="287">
        <v>43315</v>
      </c>
      <c r="I150" s="287" t="s">
        <v>2975</v>
      </c>
      <c r="J150" s="759"/>
      <c r="K150" s="470"/>
    </row>
    <row r="151" spans="1:11" x14ac:dyDescent="0.2">
      <c r="A151" s="944">
        <v>39017010203</v>
      </c>
      <c r="B151" s="239" t="s">
        <v>169</v>
      </c>
      <c r="C151" s="286" t="s">
        <v>2975</v>
      </c>
      <c r="D151" s="865" t="s">
        <v>2975</v>
      </c>
      <c r="E151" s="287" t="s">
        <v>3566</v>
      </c>
      <c r="F151" s="287" t="s">
        <v>5176</v>
      </c>
      <c r="G151" s="288" t="s">
        <v>3568</v>
      </c>
      <c r="H151" s="287">
        <v>43316</v>
      </c>
      <c r="I151" s="287" t="s">
        <v>2975</v>
      </c>
      <c r="J151" s="759"/>
      <c r="K151" s="470"/>
    </row>
    <row r="152" spans="1:11" x14ac:dyDescent="0.2">
      <c r="A152" s="944">
        <v>39017010301</v>
      </c>
      <c r="B152" s="239" t="s">
        <v>170</v>
      </c>
      <c r="C152" s="286" t="s">
        <v>2975</v>
      </c>
      <c r="D152" s="865" t="s">
        <v>2975</v>
      </c>
      <c r="E152" s="287" t="s">
        <v>3563</v>
      </c>
      <c r="F152" s="287" t="s">
        <v>3559</v>
      </c>
      <c r="G152" s="288" t="s">
        <v>3568</v>
      </c>
      <c r="H152" s="287">
        <v>43317</v>
      </c>
      <c r="I152" s="287" t="s">
        <v>2975</v>
      </c>
      <c r="J152" s="759"/>
      <c r="K152" s="470"/>
    </row>
    <row r="153" spans="1:11" x14ac:dyDescent="0.2">
      <c r="A153" s="944">
        <v>39017010302</v>
      </c>
      <c r="B153" s="239" t="s">
        <v>171</v>
      </c>
      <c r="C153" s="286" t="s">
        <v>2975</v>
      </c>
      <c r="D153" s="865" t="s">
        <v>2975</v>
      </c>
      <c r="E153" s="287" t="s">
        <v>3563</v>
      </c>
      <c r="F153" s="287" t="s">
        <v>3559</v>
      </c>
      <c r="G153" s="288" t="s">
        <v>3568</v>
      </c>
      <c r="H153" s="287">
        <v>43318</v>
      </c>
      <c r="I153" s="287" t="s">
        <v>2975</v>
      </c>
      <c r="J153" s="759"/>
      <c r="K153" s="470"/>
    </row>
    <row r="154" spans="1:11" x14ac:dyDescent="0.2">
      <c r="A154" s="944">
        <v>39017010500</v>
      </c>
      <c r="B154" s="239" t="s">
        <v>172</v>
      </c>
      <c r="C154" s="286" t="s">
        <v>4330</v>
      </c>
      <c r="D154" s="865" t="s">
        <v>4330</v>
      </c>
      <c r="E154" s="287" t="s">
        <v>3557</v>
      </c>
      <c r="F154" s="287" t="s">
        <v>3558</v>
      </c>
      <c r="G154" s="288" t="s">
        <v>3569</v>
      </c>
      <c r="H154" s="287">
        <v>43319</v>
      </c>
      <c r="I154" s="287" t="s">
        <v>2975</v>
      </c>
      <c r="J154" s="759"/>
      <c r="K154" s="470"/>
    </row>
    <row r="155" spans="1:11" x14ac:dyDescent="0.2">
      <c r="A155" s="944">
        <v>39017010600</v>
      </c>
      <c r="B155" s="239" t="s">
        <v>173</v>
      </c>
      <c r="C155" s="286" t="s">
        <v>2975</v>
      </c>
      <c r="D155" s="865" t="s">
        <v>2975</v>
      </c>
      <c r="E155" s="287" t="s">
        <v>3564</v>
      </c>
      <c r="F155" s="287" t="s">
        <v>3565</v>
      </c>
      <c r="G155" s="288" t="s">
        <v>3568</v>
      </c>
      <c r="H155" s="287">
        <v>43320</v>
      </c>
      <c r="I155" s="287" t="s">
        <v>2975</v>
      </c>
      <c r="J155" s="759"/>
      <c r="K155" s="470"/>
    </row>
    <row r="156" spans="1:11" x14ac:dyDescent="0.2">
      <c r="A156" s="944">
        <v>39017010800</v>
      </c>
      <c r="B156" s="239" t="s">
        <v>174</v>
      </c>
      <c r="C156" s="286" t="s">
        <v>2975</v>
      </c>
      <c r="D156" s="865" t="s">
        <v>2975</v>
      </c>
      <c r="E156" s="287" t="s">
        <v>3563</v>
      </c>
      <c r="F156" s="287" t="s">
        <v>3558</v>
      </c>
      <c r="G156" s="288" t="s">
        <v>3568</v>
      </c>
      <c r="H156" s="287">
        <v>43321</v>
      </c>
      <c r="I156" s="287" t="s">
        <v>2975</v>
      </c>
      <c r="J156" s="759"/>
      <c r="K156" s="333"/>
    </row>
    <row r="157" spans="1:11" x14ac:dyDescent="0.2">
      <c r="A157" s="944">
        <v>39017010901</v>
      </c>
      <c r="B157" s="239" t="s">
        <v>175</v>
      </c>
      <c r="C157" s="286" t="s">
        <v>2975</v>
      </c>
      <c r="D157" s="865" t="s">
        <v>2975</v>
      </c>
      <c r="E157" s="287" t="s">
        <v>3566</v>
      </c>
      <c r="F157" s="287" t="s">
        <v>3565</v>
      </c>
      <c r="G157" s="288" t="s">
        <v>3569</v>
      </c>
      <c r="H157" s="287">
        <v>43322</v>
      </c>
      <c r="I157" s="287" t="s">
        <v>2975</v>
      </c>
      <c r="J157" s="759"/>
    </row>
    <row r="158" spans="1:11" x14ac:dyDescent="0.2">
      <c r="A158" s="944">
        <v>39017010903</v>
      </c>
      <c r="B158" s="239" t="s">
        <v>176</v>
      </c>
      <c r="C158" s="286" t="s">
        <v>2975</v>
      </c>
      <c r="D158" s="865" t="s">
        <v>2975</v>
      </c>
      <c r="E158" s="287" t="s">
        <v>3563</v>
      </c>
      <c r="F158" s="287" t="s">
        <v>3558</v>
      </c>
      <c r="G158" s="288" t="s">
        <v>3569</v>
      </c>
      <c r="H158" s="287">
        <v>43323</v>
      </c>
      <c r="I158" s="287" t="s">
        <v>2975</v>
      </c>
      <c r="J158" s="759"/>
    </row>
    <row r="159" spans="1:11" x14ac:dyDescent="0.2">
      <c r="A159" s="944">
        <v>39017010904</v>
      </c>
      <c r="B159" s="239" t="s">
        <v>177</v>
      </c>
      <c r="C159" s="286" t="s">
        <v>2975</v>
      </c>
      <c r="D159" s="865" t="s">
        <v>2975</v>
      </c>
      <c r="E159" s="287" t="s">
        <v>3566</v>
      </c>
      <c r="F159" s="287" t="s">
        <v>5176</v>
      </c>
      <c r="G159" s="288" t="s">
        <v>3569</v>
      </c>
      <c r="H159" s="287">
        <v>43324</v>
      </c>
      <c r="I159" s="287" t="s">
        <v>2975</v>
      </c>
      <c r="J159" s="759"/>
    </row>
    <row r="160" spans="1:11" x14ac:dyDescent="0.2">
      <c r="A160" s="944">
        <v>39017010906</v>
      </c>
      <c r="B160" s="239" t="s">
        <v>178</v>
      </c>
      <c r="C160" s="286" t="s">
        <v>2975</v>
      </c>
      <c r="D160" s="865" t="s">
        <v>2975</v>
      </c>
      <c r="E160" s="287" t="s">
        <v>3566</v>
      </c>
      <c r="F160" s="287" t="s">
        <v>3565</v>
      </c>
      <c r="G160" s="288" t="s">
        <v>3569</v>
      </c>
      <c r="H160" s="287">
        <v>43326</v>
      </c>
      <c r="I160" s="287" t="s">
        <v>2975</v>
      </c>
      <c r="J160" s="759"/>
    </row>
    <row r="161" spans="1:10" x14ac:dyDescent="0.2">
      <c r="A161" s="944">
        <v>39017010907</v>
      </c>
      <c r="B161" s="239" t="s">
        <v>179</v>
      </c>
      <c r="C161" s="286" t="s">
        <v>2975</v>
      </c>
      <c r="D161" s="865" t="s">
        <v>2975</v>
      </c>
      <c r="E161" s="287" t="s">
        <v>3566</v>
      </c>
      <c r="F161" s="287" t="s">
        <v>3565</v>
      </c>
      <c r="G161" s="288" t="s">
        <v>3569</v>
      </c>
      <c r="H161" s="287">
        <v>43330</v>
      </c>
      <c r="I161" s="287" t="s">
        <v>2975</v>
      </c>
      <c r="J161" s="759"/>
    </row>
    <row r="162" spans="1:10" x14ac:dyDescent="0.2">
      <c r="A162" s="944">
        <v>39017010908</v>
      </c>
      <c r="B162" s="239" t="s">
        <v>180</v>
      </c>
      <c r="C162" s="286" t="s">
        <v>2975</v>
      </c>
      <c r="D162" s="865" t="s">
        <v>2975</v>
      </c>
      <c r="E162" s="287" t="s">
        <v>3566</v>
      </c>
      <c r="F162" s="287" t="s">
        <v>3565</v>
      </c>
      <c r="G162" s="288" t="s">
        <v>3569</v>
      </c>
      <c r="H162" s="287">
        <v>43331</v>
      </c>
      <c r="I162" s="287" t="s">
        <v>2975</v>
      </c>
      <c r="J162" s="759"/>
    </row>
    <row r="163" spans="1:10" x14ac:dyDescent="0.2">
      <c r="A163" s="944">
        <v>39017010909</v>
      </c>
      <c r="B163" s="239" t="s">
        <v>181</v>
      </c>
      <c r="C163" s="286" t="s">
        <v>2975</v>
      </c>
      <c r="D163" s="865" t="s">
        <v>2975</v>
      </c>
      <c r="E163" s="287" t="s">
        <v>3564</v>
      </c>
      <c r="F163" s="287" t="s">
        <v>3565</v>
      </c>
      <c r="G163" s="288" t="s">
        <v>3569</v>
      </c>
      <c r="H163" s="287">
        <v>43332</v>
      </c>
      <c r="I163" s="287" t="s">
        <v>2975</v>
      </c>
      <c r="J163" s="759"/>
    </row>
    <row r="164" spans="1:10" x14ac:dyDescent="0.2">
      <c r="A164" s="944">
        <v>39017010910</v>
      </c>
      <c r="B164" s="239" t="s">
        <v>182</v>
      </c>
      <c r="C164" s="286" t="s">
        <v>2975</v>
      </c>
      <c r="D164" s="865" t="s">
        <v>2975</v>
      </c>
      <c r="E164" s="287" t="s">
        <v>3563</v>
      </c>
      <c r="F164" s="287" t="s">
        <v>3565</v>
      </c>
      <c r="G164" s="288" t="s">
        <v>3569</v>
      </c>
      <c r="H164" s="287">
        <v>43333</v>
      </c>
      <c r="I164" s="287" t="s">
        <v>2975</v>
      </c>
      <c r="J164" s="759"/>
    </row>
    <row r="165" spans="1:10" x14ac:dyDescent="0.2">
      <c r="A165" s="944">
        <v>39017010911</v>
      </c>
      <c r="B165" s="239" t="s">
        <v>183</v>
      </c>
      <c r="C165" s="286" t="s">
        <v>2975</v>
      </c>
      <c r="D165" s="865" t="s">
        <v>2975</v>
      </c>
      <c r="E165" s="287" t="s">
        <v>3566</v>
      </c>
      <c r="F165" s="287" t="s">
        <v>3565</v>
      </c>
      <c r="G165" s="288" t="s">
        <v>3569</v>
      </c>
      <c r="H165" s="287">
        <v>43334</v>
      </c>
      <c r="I165" s="287" t="s">
        <v>2975</v>
      </c>
      <c r="J165" s="759"/>
    </row>
    <row r="166" spans="1:10" x14ac:dyDescent="0.2">
      <c r="A166" s="944">
        <v>39017011002</v>
      </c>
      <c r="B166" s="239" t="s">
        <v>184</v>
      </c>
      <c r="C166" s="286" t="s">
        <v>2975</v>
      </c>
      <c r="D166" s="865" t="s">
        <v>2975</v>
      </c>
      <c r="E166" s="287" t="s">
        <v>3563</v>
      </c>
      <c r="F166" s="287" t="s">
        <v>5176</v>
      </c>
      <c r="G166" s="288" t="s">
        <v>3569</v>
      </c>
      <c r="H166" s="287">
        <v>43336</v>
      </c>
      <c r="I166" s="287" t="s">
        <v>2975</v>
      </c>
      <c r="J166" s="759"/>
    </row>
    <row r="167" spans="1:10" x14ac:dyDescent="0.2">
      <c r="A167" s="944">
        <v>39017011003</v>
      </c>
      <c r="B167" s="239" t="s">
        <v>185</v>
      </c>
      <c r="C167" s="286" t="s">
        <v>2975</v>
      </c>
      <c r="D167" s="865" t="s">
        <v>2975</v>
      </c>
      <c r="E167" s="287" t="s">
        <v>3563</v>
      </c>
      <c r="F167" s="287" t="s">
        <v>3565</v>
      </c>
      <c r="G167" s="288" t="s">
        <v>3569</v>
      </c>
      <c r="H167" s="287">
        <v>43337</v>
      </c>
      <c r="I167" s="287" t="s">
        <v>2975</v>
      </c>
      <c r="J167" s="759"/>
    </row>
    <row r="168" spans="1:10" x14ac:dyDescent="0.2">
      <c r="A168" s="944">
        <v>39017011004</v>
      </c>
      <c r="B168" s="239" t="s">
        <v>186</v>
      </c>
      <c r="C168" s="286" t="s">
        <v>4330</v>
      </c>
      <c r="D168" s="865" t="s">
        <v>4330</v>
      </c>
      <c r="E168" s="287" t="s">
        <v>3557</v>
      </c>
      <c r="F168" s="287" t="s">
        <v>3565</v>
      </c>
      <c r="G168" s="288" t="s">
        <v>3569</v>
      </c>
      <c r="H168" s="287">
        <v>43338</v>
      </c>
      <c r="I168" s="287" t="s">
        <v>2975</v>
      </c>
      <c r="J168" s="759"/>
    </row>
    <row r="169" spans="1:10" x14ac:dyDescent="0.2">
      <c r="A169" s="944">
        <v>39017011109</v>
      </c>
      <c r="B169" s="239" t="s">
        <v>187</v>
      </c>
      <c r="C169" s="286" t="s">
        <v>2975</v>
      </c>
      <c r="D169" s="865" t="s">
        <v>2975</v>
      </c>
      <c r="E169" s="287" t="s">
        <v>3562</v>
      </c>
      <c r="F169" s="287" t="s">
        <v>3559</v>
      </c>
      <c r="G169" s="288" t="s">
        <v>3569</v>
      </c>
      <c r="H169" s="287">
        <v>43340</v>
      </c>
      <c r="I169" s="287" t="s">
        <v>2975</v>
      </c>
      <c r="J169" s="759"/>
    </row>
    <row r="170" spans="1:10" x14ac:dyDescent="0.2">
      <c r="A170" s="944">
        <v>39017011110</v>
      </c>
      <c r="B170" s="239" t="s">
        <v>188</v>
      </c>
      <c r="C170" s="286" t="s">
        <v>2975</v>
      </c>
      <c r="D170" s="865" t="s">
        <v>2975</v>
      </c>
      <c r="E170" s="287" t="s">
        <v>3562</v>
      </c>
      <c r="F170" s="287" t="s">
        <v>3559</v>
      </c>
      <c r="G170" s="288" t="s">
        <v>3569</v>
      </c>
      <c r="H170" s="287">
        <v>43341</v>
      </c>
      <c r="I170" s="287" t="s">
        <v>2975</v>
      </c>
      <c r="J170" s="759"/>
    </row>
    <row r="171" spans="1:10" x14ac:dyDescent="0.2">
      <c r="A171" s="944">
        <v>39017011111</v>
      </c>
      <c r="B171" s="239" t="s">
        <v>189</v>
      </c>
      <c r="C171" s="286" t="s">
        <v>2975</v>
      </c>
      <c r="D171" s="865" t="s">
        <v>2975</v>
      </c>
      <c r="E171" s="287" t="s">
        <v>3562</v>
      </c>
      <c r="F171" s="287" t="s">
        <v>5177</v>
      </c>
      <c r="G171" s="288" t="s">
        <v>3569</v>
      </c>
      <c r="H171" s="287">
        <v>43342</v>
      </c>
      <c r="I171" s="287" t="s">
        <v>2975</v>
      </c>
      <c r="J171" s="759"/>
    </row>
    <row r="172" spans="1:10" x14ac:dyDescent="0.2">
      <c r="A172" s="944">
        <v>39017011112</v>
      </c>
      <c r="B172" s="239" t="s">
        <v>190</v>
      </c>
      <c r="C172" s="286" t="s">
        <v>2975</v>
      </c>
      <c r="D172" s="865" t="s">
        <v>2975</v>
      </c>
      <c r="E172" s="287" t="s">
        <v>3562</v>
      </c>
      <c r="F172" s="287" t="s">
        <v>3565</v>
      </c>
      <c r="G172" s="288" t="s">
        <v>3569</v>
      </c>
      <c r="H172" s="287">
        <v>43343</v>
      </c>
      <c r="I172" s="287" t="s">
        <v>2975</v>
      </c>
      <c r="J172" s="759"/>
    </row>
    <row r="173" spans="1:10" x14ac:dyDescent="0.2">
      <c r="A173" s="944">
        <v>39017011116</v>
      </c>
      <c r="B173" s="239" t="s">
        <v>191</v>
      </c>
      <c r="C173" s="286" t="s">
        <v>2975</v>
      </c>
      <c r="D173" s="865" t="s">
        <v>2975</v>
      </c>
      <c r="E173" s="287" t="s">
        <v>3562</v>
      </c>
      <c r="F173" s="287" t="s">
        <v>3565</v>
      </c>
      <c r="G173" s="288" t="s">
        <v>3569</v>
      </c>
      <c r="H173" s="287">
        <v>43344</v>
      </c>
      <c r="I173" s="287" t="s">
        <v>2975</v>
      </c>
      <c r="J173" s="759"/>
    </row>
    <row r="174" spans="1:10" x14ac:dyDescent="0.2">
      <c r="A174" s="944">
        <v>39017011117</v>
      </c>
      <c r="B174" s="239" t="s">
        <v>192</v>
      </c>
      <c r="C174" s="286" t="s">
        <v>2975</v>
      </c>
      <c r="D174" s="865" t="s">
        <v>2975</v>
      </c>
      <c r="E174" s="287" t="s">
        <v>3563</v>
      </c>
      <c r="F174" s="287" t="s">
        <v>3559</v>
      </c>
      <c r="G174" s="288" t="s">
        <v>3569</v>
      </c>
      <c r="H174" s="287">
        <v>43345</v>
      </c>
      <c r="I174" s="287" t="s">
        <v>2975</v>
      </c>
      <c r="J174" s="759"/>
    </row>
    <row r="175" spans="1:10" x14ac:dyDescent="0.2">
      <c r="A175" s="944">
        <v>39017011118</v>
      </c>
      <c r="B175" s="239" t="s">
        <v>193</v>
      </c>
      <c r="C175" s="286" t="s">
        <v>2975</v>
      </c>
      <c r="D175" s="865" t="s">
        <v>2975</v>
      </c>
      <c r="E175" s="287" t="s">
        <v>3562</v>
      </c>
      <c r="F175" s="287" t="s">
        <v>5177</v>
      </c>
      <c r="G175" s="288" t="s">
        <v>3569</v>
      </c>
      <c r="H175" s="287">
        <v>43347</v>
      </c>
      <c r="I175" s="287" t="s">
        <v>2975</v>
      </c>
      <c r="J175" s="759"/>
    </row>
    <row r="176" spans="1:10" x14ac:dyDescent="0.2">
      <c r="A176" s="944">
        <v>39017011120</v>
      </c>
      <c r="B176" s="239" t="s">
        <v>194</v>
      </c>
      <c r="C176" s="286" t="s">
        <v>2975</v>
      </c>
      <c r="D176" s="865" t="s">
        <v>2975</v>
      </c>
      <c r="E176" s="287" t="s">
        <v>3563</v>
      </c>
      <c r="F176" s="287" t="s">
        <v>3565</v>
      </c>
      <c r="G176" s="288" t="s">
        <v>3569</v>
      </c>
      <c r="H176" s="287">
        <v>43348</v>
      </c>
      <c r="I176" s="287" t="s">
        <v>2975</v>
      </c>
      <c r="J176" s="759"/>
    </row>
    <row r="177" spans="1:10" x14ac:dyDescent="0.2">
      <c r="A177" s="944">
        <v>39017011121</v>
      </c>
      <c r="B177" s="239" t="s">
        <v>195</v>
      </c>
      <c r="C177" s="286" t="s">
        <v>2975</v>
      </c>
      <c r="D177" s="865" t="s">
        <v>2975</v>
      </c>
      <c r="E177" s="287" t="s">
        <v>3562</v>
      </c>
      <c r="F177" s="287" t="s">
        <v>3558</v>
      </c>
      <c r="G177" s="288" t="s">
        <v>3569</v>
      </c>
      <c r="H177" s="287">
        <v>43351</v>
      </c>
      <c r="I177" s="287" t="s">
        <v>2975</v>
      </c>
      <c r="J177" s="759"/>
    </row>
    <row r="178" spans="1:10" x14ac:dyDescent="0.2">
      <c r="A178" s="944">
        <v>39017011122</v>
      </c>
      <c r="B178" s="239" t="s">
        <v>196</v>
      </c>
      <c r="C178" s="286" t="s">
        <v>2975</v>
      </c>
      <c r="D178" s="865" t="s">
        <v>2975</v>
      </c>
      <c r="E178" s="287" t="s">
        <v>3563</v>
      </c>
      <c r="F178" s="287" t="s">
        <v>5176</v>
      </c>
      <c r="G178" s="288" t="s">
        <v>3569</v>
      </c>
      <c r="H178" s="287">
        <v>43356</v>
      </c>
      <c r="I178" s="287" t="s">
        <v>2975</v>
      </c>
      <c r="J178" s="759"/>
    </row>
    <row r="179" spans="1:10" x14ac:dyDescent="0.2">
      <c r="A179" s="944">
        <v>39017011123</v>
      </c>
      <c r="B179" s="239" t="s">
        <v>197</v>
      </c>
      <c r="C179" s="286" t="s">
        <v>4330</v>
      </c>
      <c r="D179" s="865" t="s">
        <v>4330</v>
      </c>
      <c r="E179" s="287" t="s">
        <v>3564</v>
      </c>
      <c r="F179" s="287" t="s">
        <v>3558</v>
      </c>
      <c r="G179" s="288" t="s">
        <v>3569</v>
      </c>
      <c r="H179" s="287">
        <v>43357</v>
      </c>
      <c r="I179" s="287" t="s">
        <v>2975</v>
      </c>
      <c r="J179" s="759"/>
    </row>
    <row r="180" spans="1:10" x14ac:dyDescent="0.2">
      <c r="A180" s="944">
        <v>39017011125</v>
      </c>
      <c r="B180" s="239" t="s">
        <v>198</v>
      </c>
      <c r="C180" s="286" t="s">
        <v>2975</v>
      </c>
      <c r="D180" s="865" t="s">
        <v>2975</v>
      </c>
      <c r="E180" s="287" t="s">
        <v>3562</v>
      </c>
      <c r="F180" s="287" t="s">
        <v>3559</v>
      </c>
      <c r="G180" s="288" t="s">
        <v>3569</v>
      </c>
      <c r="H180" s="287">
        <v>43358</v>
      </c>
      <c r="I180" s="287" t="s">
        <v>2975</v>
      </c>
      <c r="J180" s="759"/>
    </row>
    <row r="181" spans="1:10" x14ac:dyDescent="0.2">
      <c r="A181" s="944">
        <v>39017011126</v>
      </c>
      <c r="B181" s="239" t="s">
        <v>199</v>
      </c>
      <c r="C181" s="286" t="s">
        <v>2975</v>
      </c>
      <c r="D181" s="865" t="s">
        <v>2975</v>
      </c>
      <c r="E181" s="287" t="s">
        <v>3563</v>
      </c>
      <c r="F181" s="287" t="s">
        <v>5177</v>
      </c>
      <c r="G181" s="288" t="s">
        <v>3569</v>
      </c>
      <c r="H181" s="287">
        <v>43359</v>
      </c>
      <c r="I181" s="287" t="s">
        <v>2975</v>
      </c>
      <c r="J181" s="759"/>
    </row>
    <row r="182" spans="1:10" x14ac:dyDescent="0.2">
      <c r="A182" s="944">
        <v>39017011127</v>
      </c>
      <c r="B182" s="239" t="s">
        <v>200</v>
      </c>
      <c r="C182" s="286" t="s">
        <v>2975</v>
      </c>
      <c r="D182" s="865" t="s">
        <v>2975</v>
      </c>
      <c r="E182" s="287" t="s">
        <v>3562</v>
      </c>
      <c r="F182" s="287" t="s">
        <v>3558</v>
      </c>
      <c r="G182" s="288" t="s">
        <v>3569</v>
      </c>
      <c r="H182" s="287">
        <v>43360</v>
      </c>
      <c r="I182" s="287" t="s">
        <v>2975</v>
      </c>
      <c r="J182" s="759"/>
    </row>
    <row r="183" spans="1:10" x14ac:dyDescent="0.2">
      <c r="A183" s="944">
        <v>39017011128</v>
      </c>
      <c r="B183" s="239" t="s">
        <v>201</v>
      </c>
      <c r="C183" s="286" t="s">
        <v>2975</v>
      </c>
      <c r="D183" s="865" t="s">
        <v>2975</v>
      </c>
      <c r="E183" s="287" t="s">
        <v>3562</v>
      </c>
      <c r="F183" s="287" t="s">
        <v>3565</v>
      </c>
      <c r="G183" s="288" t="s">
        <v>3569</v>
      </c>
      <c r="H183" s="287">
        <v>43402</v>
      </c>
      <c r="I183" s="287" t="s">
        <v>2975</v>
      </c>
      <c r="J183" s="759"/>
    </row>
    <row r="184" spans="1:10" x14ac:dyDescent="0.2">
      <c r="A184" s="944">
        <v>39017011129</v>
      </c>
      <c r="B184" s="239" t="s">
        <v>202</v>
      </c>
      <c r="C184" s="286" t="s">
        <v>2975</v>
      </c>
      <c r="D184" s="865" t="s">
        <v>2975</v>
      </c>
      <c r="E184" s="287" t="s">
        <v>3563</v>
      </c>
      <c r="F184" s="287" t="s">
        <v>3558</v>
      </c>
      <c r="G184" s="288" t="s">
        <v>3569</v>
      </c>
      <c r="H184" s="287">
        <v>43403</v>
      </c>
      <c r="I184" s="287" t="s">
        <v>2975</v>
      </c>
      <c r="J184" s="759"/>
    </row>
    <row r="185" spans="1:10" x14ac:dyDescent="0.2">
      <c r="A185" s="944">
        <v>39017011130</v>
      </c>
      <c r="B185" s="239" t="s">
        <v>203</v>
      </c>
      <c r="C185" s="286" t="s">
        <v>2975</v>
      </c>
      <c r="D185" s="865" t="s">
        <v>2975</v>
      </c>
      <c r="E185" s="287" t="s">
        <v>3563</v>
      </c>
      <c r="F185" s="287" t="s">
        <v>3565</v>
      </c>
      <c r="G185" s="288" t="s">
        <v>3569</v>
      </c>
      <c r="H185" s="287">
        <v>43406</v>
      </c>
      <c r="I185" s="287" t="s">
        <v>2975</v>
      </c>
      <c r="J185" s="759"/>
    </row>
    <row r="186" spans="1:10" x14ac:dyDescent="0.2">
      <c r="A186" s="944">
        <v>39017011131</v>
      </c>
      <c r="B186" s="239" t="s">
        <v>204</v>
      </c>
      <c r="C186" s="286" t="s">
        <v>2975</v>
      </c>
      <c r="D186" s="865" t="s">
        <v>2975</v>
      </c>
      <c r="E186" s="287" t="s">
        <v>3562</v>
      </c>
      <c r="F186" s="287" t="s">
        <v>5176</v>
      </c>
      <c r="G186" s="288" t="s">
        <v>3569</v>
      </c>
      <c r="H186" s="287">
        <v>43407</v>
      </c>
      <c r="I186" s="287" t="s">
        <v>2975</v>
      </c>
      <c r="J186" s="759"/>
    </row>
    <row r="187" spans="1:10" x14ac:dyDescent="0.2">
      <c r="A187" s="944">
        <v>39017011200</v>
      </c>
      <c r="B187" s="239" t="s">
        <v>205</v>
      </c>
      <c r="C187" s="286" t="s">
        <v>2975</v>
      </c>
      <c r="D187" s="865" t="s">
        <v>2975</v>
      </c>
      <c r="E187" s="287" t="s">
        <v>3563</v>
      </c>
      <c r="F187" s="287" t="s">
        <v>5177</v>
      </c>
      <c r="G187" s="288" t="s">
        <v>3569</v>
      </c>
      <c r="H187" s="287">
        <v>43408</v>
      </c>
      <c r="I187" s="287" t="s">
        <v>2975</v>
      </c>
      <c r="J187" s="759"/>
    </row>
    <row r="188" spans="1:10" x14ac:dyDescent="0.2">
      <c r="A188" s="944">
        <v>39017011300</v>
      </c>
      <c r="B188" s="239" t="s">
        <v>206</v>
      </c>
      <c r="C188" s="286" t="s">
        <v>2975</v>
      </c>
      <c r="D188" s="865" t="s">
        <v>2975</v>
      </c>
      <c r="E188" s="287" t="s">
        <v>3563</v>
      </c>
      <c r="F188" s="287" t="s">
        <v>5177</v>
      </c>
      <c r="G188" s="288" t="s">
        <v>3569</v>
      </c>
      <c r="H188" s="287">
        <v>43410</v>
      </c>
      <c r="I188" s="287" t="s">
        <v>2975</v>
      </c>
      <c r="J188" s="759"/>
    </row>
    <row r="189" spans="1:10" x14ac:dyDescent="0.2">
      <c r="A189" s="944">
        <v>39017011800</v>
      </c>
      <c r="B189" s="239" t="s">
        <v>207</v>
      </c>
      <c r="C189" s="286" t="s">
        <v>2975</v>
      </c>
      <c r="D189" s="865" t="s">
        <v>2975</v>
      </c>
      <c r="E189" s="287" t="s">
        <v>3566</v>
      </c>
      <c r="F189" s="287" t="s">
        <v>5177</v>
      </c>
      <c r="G189" s="288" t="s">
        <v>3569</v>
      </c>
      <c r="H189" s="287">
        <v>43412</v>
      </c>
      <c r="I189" s="287" t="s">
        <v>2975</v>
      </c>
      <c r="J189" s="759"/>
    </row>
    <row r="190" spans="1:10" x14ac:dyDescent="0.2">
      <c r="A190" s="944">
        <v>39017012100</v>
      </c>
      <c r="B190" s="239" t="s">
        <v>208</v>
      </c>
      <c r="C190" s="286" t="s">
        <v>2975</v>
      </c>
      <c r="D190" s="865" t="s">
        <v>2975</v>
      </c>
      <c r="E190" s="287" t="s">
        <v>3566</v>
      </c>
      <c r="F190" s="287" t="s">
        <v>3565</v>
      </c>
      <c r="G190" s="288" t="s">
        <v>3568</v>
      </c>
      <c r="H190" s="287">
        <v>43413</v>
      </c>
      <c r="I190" s="287" t="s">
        <v>2975</v>
      </c>
      <c r="J190" s="759"/>
    </row>
    <row r="191" spans="1:10" x14ac:dyDescent="0.2">
      <c r="A191" s="944">
        <v>39017012200</v>
      </c>
      <c r="B191" s="239" t="s">
        <v>209</v>
      </c>
      <c r="C191" s="286" t="s">
        <v>4330</v>
      </c>
      <c r="D191" s="865" t="s">
        <v>4330</v>
      </c>
      <c r="E191" s="287" t="s">
        <v>3566</v>
      </c>
      <c r="F191" s="287" t="s">
        <v>5177</v>
      </c>
      <c r="G191" s="288" t="s">
        <v>3553</v>
      </c>
      <c r="H191" s="287">
        <v>43416</v>
      </c>
      <c r="I191" s="287" t="s">
        <v>2975</v>
      </c>
      <c r="J191" s="759"/>
    </row>
    <row r="192" spans="1:10" x14ac:dyDescent="0.2">
      <c r="A192" s="944">
        <v>39017012300</v>
      </c>
      <c r="B192" s="239" t="s">
        <v>210</v>
      </c>
      <c r="C192" s="286" t="s">
        <v>2975</v>
      </c>
      <c r="D192" s="865" t="s">
        <v>2975</v>
      </c>
      <c r="E192" s="287" t="s">
        <v>3566</v>
      </c>
      <c r="F192" s="287" t="s">
        <v>5176</v>
      </c>
      <c r="G192" s="288" t="s">
        <v>3553</v>
      </c>
      <c r="H192" s="287">
        <v>43420</v>
      </c>
      <c r="I192" s="287" t="s">
        <v>2975</v>
      </c>
      <c r="J192" s="759"/>
    </row>
    <row r="193" spans="1:10" x14ac:dyDescent="0.2">
      <c r="A193" s="944">
        <v>39017012400</v>
      </c>
      <c r="B193" s="239" t="s">
        <v>211</v>
      </c>
      <c r="C193" s="286" t="s">
        <v>2975</v>
      </c>
      <c r="D193" s="865" t="s">
        <v>2975</v>
      </c>
      <c r="E193" s="287" t="s">
        <v>3564</v>
      </c>
      <c r="F193" s="287" t="s">
        <v>5176</v>
      </c>
      <c r="G193" s="288" t="s">
        <v>3569</v>
      </c>
      <c r="H193" s="287">
        <v>43430</v>
      </c>
      <c r="I193" s="287" t="s">
        <v>2975</v>
      </c>
      <c r="J193" s="759"/>
    </row>
    <row r="194" spans="1:10" x14ac:dyDescent="0.2">
      <c r="A194" s="944">
        <v>39017012500</v>
      </c>
      <c r="B194" s="239" t="s">
        <v>212</v>
      </c>
      <c r="C194" s="286" t="s">
        <v>2975</v>
      </c>
      <c r="D194" s="865" t="s">
        <v>2975</v>
      </c>
      <c r="E194" s="287" t="s">
        <v>3566</v>
      </c>
      <c r="F194" s="287" t="s">
        <v>3558</v>
      </c>
      <c r="G194" s="288" t="s">
        <v>3569</v>
      </c>
      <c r="H194" s="287">
        <v>43431</v>
      </c>
      <c r="I194" s="287" t="s">
        <v>2975</v>
      </c>
      <c r="J194" s="759"/>
    </row>
    <row r="195" spans="1:10" x14ac:dyDescent="0.2">
      <c r="A195" s="944">
        <v>39017012600</v>
      </c>
      <c r="B195" s="239" t="s">
        <v>213</v>
      </c>
      <c r="C195" s="286" t="s">
        <v>2975</v>
      </c>
      <c r="D195" s="865" t="s">
        <v>2975</v>
      </c>
      <c r="E195" s="287" t="s">
        <v>3564</v>
      </c>
      <c r="F195" s="287" t="s">
        <v>5176</v>
      </c>
      <c r="G195" s="288" t="s">
        <v>3569</v>
      </c>
      <c r="H195" s="287">
        <v>43432</v>
      </c>
      <c r="I195" s="287" t="s">
        <v>2975</v>
      </c>
      <c r="J195" s="759"/>
    </row>
    <row r="196" spans="1:10" x14ac:dyDescent="0.2">
      <c r="A196" s="944">
        <v>39017012700</v>
      </c>
      <c r="B196" s="239" t="s">
        <v>214</v>
      </c>
      <c r="C196" s="286" t="s">
        <v>2975</v>
      </c>
      <c r="D196" s="865" t="s">
        <v>2975</v>
      </c>
      <c r="E196" s="287" t="s">
        <v>3563</v>
      </c>
      <c r="F196" s="287" t="s">
        <v>5176</v>
      </c>
      <c r="G196" s="288" t="s">
        <v>3553</v>
      </c>
      <c r="H196" s="287">
        <v>43433</v>
      </c>
      <c r="I196" s="287" t="s">
        <v>2975</v>
      </c>
      <c r="J196" s="759"/>
    </row>
    <row r="197" spans="1:10" x14ac:dyDescent="0.2">
      <c r="A197" s="944">
        <v>39017013000</v>
      </c>
      <c r="B197" s="239" t="s">
        <v>215</v>
      </c>
      <c r="C197" s="286" t="s">
        <v>4330</v>
      </c>
      <c r="D197" s="865" t="s">
        <v>4330</v>
      </c>
      <c r="E197" s="287" t="s">
        <v>3564</v>
      </c>
      <c r="F197" s="287" t="s">
        <v>3565</v>
      </c>
      <c r="G197" s="288" t="s">
        <v>3553</v>
      </c>
      <c r="H197" s="287">
        <v>43434</v>
      </c>
      <c r="I197" s="287" t="s">
        <v>2975</v>
      </c>
      <c r="J197" s="759"/>
    </row>
    <row r="198" spans="1:10" x14ac:dyDescent="0.2">
      <c r="A198" s="944">
        <v>39017013100</v>
      </c>
      <c r="B198" s="239" t="s">
        <v>216</v>
      </c>
      <c r="C198" s="286" t="s">
        <v>4330</v>
      </c>
      <c r="D198" s="865" t="s">
        <v>4330</v>
      </c>
      <c r="E198" s="287" t="s">
        <v>3564</v>
      </c>
      <c r="F198" s="287" t="s">
        <v>3565</v>
      </c>
      <c r="G198" s="288" t="s">
        <v>3553</v>
      </c>
      <c r="H198" s="287">
        <v>43435</v>
      </c>
      <c r="I198" s="287" t="s">
        <v>2975</v>
      </c>
      <c r="J198" s="759"/>
    </row>
    <row r="199" spans="1:10" x14ac:dyDescent="0.2">
      <c r="A199" s="944">
        <v>39017013200</v>
      </c>
      <c r="B199" s="239" t="s">
        <v>217</v>
      </c>
      <c r="C199" s="286" t="s">
        <v>4330</v>
      </c>
      <c r="D199" s="865" t="s">
        <v>4330</v>
      </c>
      <c r="E199" s="287" t="s">
        <v>3566</v>
      </c>
      <c r="F199" s="287" t="s">
        <v>5176</v>
      </c>
      <c r="G199" s="288" t="s">
        <v>3553</v>
      </c>
      <c r="H199" s="287">
        <v>43437</v>
      </c>
      <c r="I199" s="287" t="s">
        <v>2975</v>
      </c>
      <c r="J199" s="759"/>
    </row>
    <row r="200" spans="1:10" x14ac:dyDescent="0.2">
      <c r="A200" s="944">
        <v>39017013300</v>
      </c>
      <c r="B200" s="239" t="s">
        <v>218</v>
      </c>
      <c r="C200" s="286" t="s">
        <v>2975</v>
      </c>
      <c r="D200" s="865" t="s">
        <v>2975</v>
      </c>
      <c r="E200" s="287" t="s">
        <v>3562</v>
      </c>
      <c r="F200" s="287" t="s">
        <v>3565</v>
      </c>
      <c r="G200" s="288" t="s">
        <v>3553</v>
      </c>
      <c r="H200" s="287">
        <v>43438</v>
      </c>
      <c r="I200" s="287" t="s">
        <v>2975</v>
      </c>
      <c r="J200" s="759"/>
    </row>
    <row r="201" spans="1:10" x14ac:dyDescent="0.2">
      <c r="A201" s="944">
        <v>39017013400</v>
      </c>
      <c r="B201" s="239" t="s">
        <v>219</v>
      </c>
      <c r="C201" s="286" t="s">
        <v>4330</v>
      </c>
      <c r="D201" s="865" t="s">
        <v>4330</v>
      </c>
      <c r="E201" s="287" t="s">
        <v>3557</v>
      </c>
      <c r="F201" s="287" t="s">
        <v>3559</v>
      </c>
      <c r="G201" s="288" t="s">
        <v>3569</v>
      </c>
      <c r="H201" s="287">
        <v>43439</v>
      </c>
      <c r="I201" s="287" t="s">
        <v>2975</v>
      </c>
      <c r="J201" s="759"/>
    </row>
    <row r="202" spans="1:10" x14ac:dyDescent="0.2">
      <c r="A202" s="944">
        <v>39017013500</v>
      </c>
      <c r="B202" s="239" t="s">
        <v>220</v>
      </c>
      <c r="C202" s="286" t="s">
        <v>4330</v>
      </c>
      <c r="D202" s="865" t="s">
        <v>4330</v>
      </c>
      <c r="E202" s="287" t="s">
        <v>3557</v>
      </c>
      <c r="F202" s="287" t="s">
        <v>5176</v>
      </c>
      <c r="G202" s="288" t="s">
        <v>3569</v>
      </c>
      <c r="H202" s="287">
        <v>43440</v>
      </c>
      <c r="I202" s="287" t="s">
        <v>2975</v>
      </c>
      <c r="J202" s="759"/>
    </row>
    <row r="203" spans="1:10" x14ac:dyDescent="0.2">
      <c r="A203" s="944">
        <v>39017013600</v>
      </c>
      <c r="B203" s="239" t="s">
        <v>221</v>
      </c>
      <c r="C203" s="286" t="s">
        <v>4330</v>
      </c>
      <c r="D203" s="865" t="s">
        <v>4330</v>
      </c>
      <c r="E203" s="287" t="s">
        <v>3557</v>
      </c>
      <c r="F203" s="287" t="s">
        <v>3565</v>
      </c>
      <c r="G203" s="288" t="s">
        <v>3569</v>
      </c>
      <c r="H203" s="287">
        <v>43442</v>
      </c>
      <c r="I203" s="287" t="s">
        <v>2975</v>
      </c>
      <c r="J203" s="759"/>
    </row>
    <row r="204" spans="1:10" x14ac:dyDescent="0.2">
      <c r="A204" s="944">
        <v>39017013900</v>
      </c>
      <c r="B204" s="239" t="s">
        <v>222</v>
      </c>
      <c r="C204" s="286" t="s">
        <v>4330</v>
      </c>
      <c r="D204" s="865" t="s">
        <v>4330</v>
      </c>
      <c r="E204" s="287" t="s">
        <v>3557</v>
      </c>
      <c r="F204" s="287" t="s">
        <v>5176</v>
      </c>
      <c r="G204" s="288" t="s">
        <v>3569</v>
      </c>
      <c r="H204" s="287">
        <v>43443</v>
      </c>
      <c r="I204" s="287" t="s">
        <v>2975</v>
      </c>
      <c r="J204" s="759"/>
    </row>
    <row r="205" spans="1:10" x14ac:dyDescent="0.2">
      <c r="A205" s="944">
        <v>39017014000</v>
      </c>
      <c r="B205" s="239" t="s">
        <v>223</v>
      </c>
      <c r="C205" s="286" t="s">
        <v>4330</v>
      </c>
      <c r="D205" s="865" t="s">
        <v>4330</v>
      </c>
      <c r="E205" s="287" t="s">
        <v>3557</v>
      </c>
      <c r="F205" s="287" t="s">
        <v>3565</v>
      </c>
      <c r="G205" s="288" t="s">
        <v>3569</v>
      </c>
      <c r="H205" s="287">
        <v>43445</v>
      </c>
      <c r="I205" s="287" t="s">
        <v>2975</v>
      </c>
      <c r="J205" s="759"/>
    </row>
    <row r="206" spans="1:10" x14ac:dyDescent="0.2">
      <c r="A206" s="944">
        <v>39017014100</v>
      </c>
      <c r="B206" s="239" t="s">
        <v>224</v>
      </c>
      <c r="C206" s="286" t="s">
        <v>4330</v>
      </c>
      <c r="D206" s="865" t="s">
        <v>4330</v>
      </c>
      <c r="E206" s="287" t="s">
        <v>3557</v>
      </c>
      <c r="F206" s="287" t="s">
        <v>3565</v>
      </c>
      <c r="G206" s="288" t="s">
        <v>3569</v>
      </c>
      <c r="H206" s="287">
        <v>43446</v>
      </c>
      <c r="I206" s="287" t="s">
        <v>2975</v>
      </c>
      <c r="J206" s="759"/>
    </row>
    <row r="207" spans="1:10" x14ac:dyDescent="0.2">
      <c r="A207" s="944">
        <v>39017014300</v>
      </c>
      <c r="B207" s="239" t="s">
        <v>225</v>
      </c>
      <c r="C207" s="286" t="s">
        <v>2975</v>
      </c>
      <c r="D207" s="865" t="s">
        <v>2975</v>
      </c>
      <c r="E207" s="287" t="s">
        <v>3563</v>
      </c>
      <c r="F207" s="287" t="s">
        <v>3558</v>
      </c>
      <c r="G207" s="288" t="s">
        <v>3568</v>
      </c>
      <c r="H207" s="287">
        <v>43447</v>
      </c>
      <c r="I207" s="287" t="s">
        <v>2975</v>
      </c>
      <c r="J207" s="759"/>
    </row>
    <row r="208" spans="1:10" x14ac:dyDescent="0.2">
      <c r="A208" s="944">
        <v>39017014400</v>
      </c>
      <c r="B208" s="239" t="s">
        <v>226</v>
      </c>
      <c r="C208" s="286" t="s">
        <v>4330</v>
      </c>
      <c r="D208" s="865" t="s">
        <v>4330</v>
      </c>
      <c r="E208" s="287" t="s">
        <v>3557</v>
      </c>
      <c r="F208" s="287" t="s">
        <v>3559</v>
      </c>
      <c r="G208" s="288" t="s">
        <v>3553</v>
      </c>
      <c r="H208" s="287">
        <v>43449</v>
      </c>
      <c r="I208" s="287" t="s">
        <v>2975</v>
      </c>
      <c r="J208" s="759"/>
    </row>
    <row r="209" spans="1:10" x14ac:dyDescent="0.2">
      <c r="A209" s="944">
        <v>39017014600</v>
      </c>
      <c r="B209" s="239" t="s">
        <v>227</v>
      </c>
      <c r="C209" s="286" t="s">
        <v>4330</v>
      </c>
      <c r="D209" s="865" t="s">
        <v>4330</v>
      </c>
      <c r="E209" s="287" t="s">
        <v>3564</v>
      </c>
      <c r="F209" s="287" t="s">
        <v>5177</v>
      </c>
      <c r="G209" s="288" t="s">
        <v>3553</v>
      </c>
      <c r="H209" s="287">
        <v>43450</v>
      </c>
      <c r="I209" s="287" t="s">
        <v>2975</v>
      </c>
      <c r="J209" s="759"/>
    </row>
    <row r="210" spans="1:10" x14ac:dyDescent="0.2">
      <c r="A210" s="944">
        <v>39017014700</v>
      </c>
      <c r="B210" s="239" t="s">
        <v>228</v>
      </c>
      <c r="C210" s="286" t="s">
        <v>2975</v>
      </c>
      <c r="D210" s="865" t="s">
        <v>4330</v>
      </c>
      <c r="E210" s="287" t="s">
        <v>3566</v>
      </c>
      <c r="F210" s="287" t="s">
        <v>3565</v>
      </c>
      <c r="G210" s="288" t="s">
        <v>3553</v>
      </c>
      <c r="H210" s="287">
        <v>43451</v>
      </c>
      <c r="I210" s="287" t="s">
        <v>2975</v>
      </c>
      <c r="J210" s="759"/>
    </row>
    <row r="211" spans="1:10" x14ac:dyDescent="0.2">
      <c r="A211" s="944">
        <v>39017014800</v>
      </c>
      <c r="B211" s="239" t="s">
        <v>229</v>
      </c>
      <c r="C211" s="286" t="s">
        <v>2975</v>
      </c>
      <c r="D211" s="865" t="s">
        <v>2975</v>
      </c>
      <c r="E211" s="287" t="s">
        <v>3564</v>
      </c>
      <c r="F211" s="287" t="s">
        <v>3558</v>
      </c>
      <c r="G211" s="288" t="s">
        <v>3569</v>
      </c>
      <c r="H211" s="287">
        <v>43452</v>
      </c>
      <c r="I211" s="287" t="s">
        <v>2975</v>
      </c>
      <c r="J211" s="759"/>
    </row>
    <row r="212" spans="1:10" x14ac:dyDescent="0.2">
      <c r="A212" s="944">
        <v>39017014900</v>
      </c>
      <c r="B212" s="239" t="s">
        <v>230</v>
      </c>
      <c r="C212" s="286" t="s">
        <v>2975</v>
      </c>
      <c r="D212" s="865" t="s">
        <v>2975</v>
      </c>
      <c r="E212" s="287" t="s">
        <v>3566</v>
      </c>
      <c r="F212" s="287" t="s">
        <v>5177</v>
      </c>
      <c r="G212" s="288" t="s">
        <v>3569</v>
      </c>
      <c r="H212" s="287">
        <v>43456</v>
      </c>
      <c r="I212" s="287" t="s">
        <v>2975</v>
      </c>
      <c r="J212" s="759"/>
    </row>
    <row r="213" spans="1:10" x14ac:dyDescent="0.2">
      <c r="A213" s="944">
        <v>39017015000</v>
      </c>
      <c r="B213" s="239" t="s">
        <v>231</v>
      </c>
      <c r="C213" s="286" t="s">
        <v>2975</v>
      </c>
      <c r="D213" s="865" t="s">
        <v>2975</v>
      </c>
      <c r="E213" s="287" t="s">
        <v>3563</v>
      </c>
      <c r="F213" s="287" t="s">
        <v>3558</v>
      </c>
      <c r="G213" s="288" t="s">
        <v>3568</v>
      </c>
      <c r="H213" s="287">
        <v>43457</v>
      </c>
      <c r="I213" s="287" t="s">
        <v>2975</v>
      </c>
      <c r="J213" s="759"/>
    </row>
    <row r="214" spans="1:10" x14ac:dyDescent="0.2">
      <c r="A214" s="944">
        <v>39017015100</v>
      </c>
      <c r="B214" s="239" t="s">
        <v>232</v>
      </c>
      <c r="C214" s="286" t="s">
        <v>2975</v>
      </c>
      <c r="D214" s="865" t="s">
        <v>2975</v>
      </c>
      <c r="E214" s="287" t="s">
        <v>3557</v>
      </c>
      <c r="F214" s="287" t="s">
        <v>3565</v>
      </c>
      <c r="G214" s="288" t="s">
        <v>3569</v>
      </c>
      <c r="H214" s="287">
        <v>43458</v>
      </c>
      <c r="I214" s="287" t="s">
        <v>2975</v>
      </c>
      <c r="J214" s="759"/>
    </row>
    <row r="215" spans="1:10" x14ac:dyDescent="0.2">
      <c r="A215" s="944">
        <v>39019720100</v>
      </c>
      <c r="B215" s="239" t="s">
        <v>233</v>
      </c>
      <c r="C215" s="286" t="s">
        <v>2975</v>
      </c>
      <c r="D215" s="865" t="s">
        <v>2975</v>
      </c>
      <c r="E215" s="287" t="s">
        <v>3564</v>
      </c>
      <c r="F215" s="287" t="s">
        <v>3559</v>
      </c>
      <c r="G215" s="288" t="s">
        <v>3568</v>
      </c>
      <c r="H215" s="287">
        <v>43460</v>
      </c>
      <c r="I215" s="287" t="s">
        <v>2975</v>
      </c>
      <c r="J215" s="759"/>
    </row>
    <row r="216" spans="1:10" x14ac:dyDescent="0.2">
      <c r="A216" s="944">
        <v>39019720200</v>
      </c>
      <c r="B216" s="239" t="s">
        <v>234</v>
      </c>
      <c r="C216" s="286" t="s">
        <v>2975</v>
      </c>
      <c r="D216" s="865" t="s">
        <v>2975</v>
      </c>
      <c r="E216" s="287" t="s">
        <v>3564</v>
      </c>
      <c r="F216" s="287" t="s">
        <v>3558</v>
      </c>
      <c r="G216" s="288" t="s">
        <v>3568</v>
      </c>
      <c r="H216" s="287">
        <v>43462</v>
      </c>
      <c r="I216" s="287" t="s">
        <v>2975</v>
      </c>
      <c r="J216" s="759"/>
    </row>
    <row r="217" spans="1:10" x14ac:dyDescent="0.2">
      <c r="A217" s="944">
        <v>39019720300</v>
      </c>
      <c r="B217" s="239" t="s">
        <v>235</v>
      </c>
      <c r="C217" s="286" t="s">
        <v>2975</v>
      </c>
      <c r="D217" s="865" t="s">
        <v>2975</v>
      </c>
      <c r="E217" s="287" t="s">
        <v>3557</v>
      </c>
      <c r="F217" s="287" t="s">
        <v>3559</v>
      </c>
      <c r="G217" s="288" t="s">
        <v>3568</v>
      </c>
      <c r="H217" s="287">
        <v>43463</v>
      </c>
      <c r="I217" s="287" t="s">
        <v>2975</v>
      </c>
      <c r="J217" s="759"/>
    </row>
    <row r="218" spans="1:10" x14ac:dyDescent="0.2">
      <c r="A218" s="944">
        <v>39019720400</v>
      </c>
      <c r="B218" s="239" t="s">
        <v>236</v>
      </c>
      <c r="C218" s="286" t="s">
        <v>2975</v>
      </c>
      <c r="D218" s="865" t="s">
        <v>2975</v>
      </c>
      <c r="E218" s="287" t="s">
        <v>3564</v>
      </c>
      <c r="F218" s="287" t="s">
        <v>3558</v>
      </c>
      <c r="G218" s="288" t="s">
        <v>3568</v>
      </c>
      <c r="H218" s="287">
        <v>43464</v>
      </c>
      <c r="I218" s="287" t="s">
        <v>2975</v>
      </c>
      <c r="J218" s="759"/>
    </row>
    <row r="219" spans="1:10" x14ac:dyDescent="0.2">
      <c r="A219" s="944">
        <v>39019720500</v>
      </c>
      <c r="B219" s="239" t="s">
        <v>237</v>
      </c>
      <c r="C219" s="286" t="s">
        <v>2975</v>
      </c>
      <c r="D219" s="865" t="s">
        <v>2975</v>
      </c>
      <c r="E219" s="287" t="s">
        <v>3566</v>
      </c>
      <c r="F219" s="287" t="s">
        <v>5177</v>
      </c>
      <c r="G219" s="288" t="s">
        <v>3568</v>
      </c>
      <c r="H219" s="287">
        <v>43465</v>
      </c>
      <c r="I219" s="287" t="s">
        <v>2975</v>
      </c>
      <c r="J219" s="759"/>
    </row>
    <row r="220" spans="1:10" x14ac:dyDescent="0.2">
      <c r="A220" s="944">
        <v>39019720600</v>
      </c>
      <c r="B220" s="239" t="s">
        <v>238</v>
      </c>
      <c r="C220" s="286" t="s">
        <v>2975</v>
      </c>
      <c r="D220" s="865" t="s">
        <v>2975</v>
      </c>
      <c r="E220" s="287" t="s">
        <v>3557</v>
      </c>
      <c r="F220" s="287" t="s">
        <v>3559</v>
      </c>
      <c r="G220" s="288" t="s">
        <v>3568</v>
      </c>
      <c r="H220" s="287">
        <v>43466</v>
      </c>
      <c r="I220" s="287" t="s">
        <v>2975</v>
      </c>
      <c r="J220" s="759"/>
    </row>
    <row r="221" spans="1:10" x14ac:dyDescent="0.2">
      <c r="A221" s="944">
        <v>39019720700</v>
      </c>
      <c r="B221" s="239" t="s">
        <v>239</v>
      </c>
      <c r="C221" s="286" t="s">
        <v>2975</v>
      </c>
      <c r="D221" s="865" t="s">
        <v>2975</v>
      </c>
      <c r="E221" s="287" t="s">
        <v>3564</v>
      </c>
      <c r="F221" s="287" t="s">
        <v>5177</v>
      </c>
      <c r="G221" s="288" t="s">
        <v>3568</v>
      </c>
      <c r="H221" s="287">
        <v>43467</v>
      </c>
      <c r="I221" s="287" t="s">
        <v>2975</v>
      </c>
      <c r="J221" s="759"/>
    </row>
    <row r="222" spans="1:10" x14ac:dyDescent="0.2">
      <c r="A222" s="944">
        <v>39021010100</v>
      </c>
      <c r="B222" s="239" t="s">
        <v>240</v>
      </c>
      <c r="C222" s="286" t="s">
        <v>2975</v>
      </c>
      <c r="D222" s="865" t="s">
        <v>2975</v>
      </c>
      <c r="E222" s="287" t="s">
        <v>3566</v>
      </c>
      <c r="F222" s="287" t="s">
        <v>5176</v>
      </c>
      <c r="G222" s="288" t="s">
        <v>3568</v>
      </c>
      <c r="H222" s="287">
        <v>43468</v>
      </c>
      <c r="I222" s="287" t="s">
        <v>2975</v>
      </c>
      <c r="J222" s="759"/>
    </row>
    <row r="223" spans="1:10" x14ac:dyDescent="0.2">
      <c r="A223" s="944">
        <v>39021010200</v>
      </c>
      <c r="B223" s="239" t="s">
        <v>241</v>
      </c>
      <c r="C223" s="286" t="s">
        <v>2975</v>
      </c>
      <c r="D223" s="865" t="s">
        <v>2975</v>
      </c>
      <c r="E223" s="287" t="s">
        <v>3564</v>
      </c>
      <c r="F223" s="287" t="s">
        <v>3565</v>
      </c>
      <c r="G223" s="288" t="s">
        <v>3568</v>
      </c>
      <c r="H223" s="287">
        <v>43469</v>
      </c>
      <c r="I223" s="287" t="s">
        <v>2975</v>
      </c>
      <c r="J223" s="759"/>
    </row>
    <row r="224" spans="1:10" x14ac:dyDescent="0.2">
      <c r="A224" s="944">
        <v>39021010400</v>
      </c>
      <c r="B224" s="239" t="s">
        <v>242</v>
      </c>
      <c r="C224" s="286" t="s">
        <v>2975</v>
      </c>
      <c r="D224" s="865" t="s">
        <v>2975</v>
      </c>
      <c r="E224" s="287" t="s">
        <v>3564</v>
      </c>
      <c r="F224" s="287" t="s">
        <v>5177</v>
      </c>
      <c r="G224" s="288" t="s">
        <v>3568</v>
      </c>
      <c r="H224" s="287">
        <v>43501</v>
      </c>
      <c r="I224" s="287" t="s">
        <v>2975</v>
      </c>
      <c r="J224" s="759"/>
    </row>
    <row r="225" spans="1:10" x14ac:dyDescent="0.2">
      <c r="A225" s="944">
        <v>39021010500</v>
      </c>
      <c r="B225" s="239" t="s">
        <v>243</v>
      </c>
      <c r="C225" s="286" t="s">
        <v>2975</v>
      </c>
      <c r="D225" s="865" t="s">
        <v>2975</v>
      </c>
      <c r="E225" s="287" t="s">
        <v>3566</v>
      </c>
      <c r="F225" s="287" t="s">
        <v>3565</v>
      </c>
      <c r="G225" s="288" t="s">
        <v>5175</v>
      </c>
      <c r="H225" s="287">
        <v>43502</v>
      </c>
      <c r="I225" s="287" t="s">
        <v>2975</v>
      </c>
      <c r="J225" s="759"/>
    </row>
    <row r="226" spans="1:10" x14ac:dyDescent="0.2">
      <c r="A226" s="944">
        <v>39021010600</v>
      </c>
      <c r="B226" s="239" t="s">
        <v>244</v>
      </c>
      <c r="C226" s="286" t="s">
        <v>2975</v>
      </c>
      <c r="D226" s="865" t="s">
        <v>2975</v>
      </c>
      <c r="E226" s="287" t="s">
        <v>3566</v>
      </c>
      <c r="F226" s="287" t="s">
        <v>5176</v>
      </c>
      <c r="G226" s="288" t="s">
        <v>3568</v>
      </c>
      <c r="H226" s="287">
        <v>43504</v>
      </c>
      <c r="I226" s="287" t="s">
        <v>2975</v>
      </c>
      <c r="J226" s="759"/>
    </row>
    <row r="227" spans="1:10" x14ac:dyDescent="0.2">
      <c r="A227" s="944">
        <v>39021011001</v>
      </c>
      <c r="B227" s="239" t="s">
        <v>245</v>
      </c>
      <c r="C227" s="286" t="s">
        <v>2975</v>
      </c>
      <c r="D227" s="865" t="s">
        <v>2975</v>
      </c>
      <c r="E227" s="287" t="s">
        <v>3564</v>
      </c>
      <c r="F227" s="287" t="s">
        <v>3559</v>
      </c>
      <c r="G227" s="288" t="s">
        <v>3568</v>
      </c>
      <c r="H227" s="287">
        <v>43505</v>
      </c>
      <c r="I227" s="287" t="s">
        <v>2975</v>
      </c>
      <c r="J227" s="759"/>
    </row>
    <row r="228" spans="1:10" x14ac:dyDescent="0.2">
      <c r="A228" s="944">
        <v>39021011501</v>
      </c>
      <c r="B228" s="239" t="s">
        <v>246</v>
      </c>
      <c r="C228" s="286" t="s">
        <v>2975</v>
      </c>
      <c r="D228" s="865" t="s">
        <v>2975</v>
      </c>
      <c r="E228" s="287" t="s">
        <v>3566</v>
      </c>
      <c r="F228" s="287" t="s">
        <v>3558</v>
      </c>
      <c r="G228" s="288" t="s">
        <v>3568</v>
      </c>
      <c r="H228" s="287">
        <v>43506</v>
      </c>
      <c r="I228" s="287" t="s">
        <v>2975</v>
      </c>
      <c r="J228" s="759"/>
    </row>
    <row r="229" spans="1:10" x14ac:dyDescent="0.2">
      <c r="A229" s="944">
        <v>39021011504</v>
      </c>
      <c r="B229" s="239" t="s">
        <v>247</v>
      </c>
      <c r="C229" s="286" t="s">
        <v>2975</v>
      </c>
      <c r="D229" s="865" t="s">
        <v>2975</v>
      </c>
      <c r="E229" s="287" t="s">
        <v>3563</v>
      </c>
      <c r="F229" s="287" t="s">
        <v>3565</v>
      </c>
      <c r="G229" s="288" t="s">
        <v>3568</v>
      </c>
      <c r="H229" s="287">
        <v>43511</v>
      </c>
      <c r="I229" s="287" t="s">
        <v>2975</v>
      </c>
      <c r="J229" s="759"/>
    </row>
    <row r="230" spans="1:10" x14ac:dyDescent="0.2">
      <c r="A230" s="944">
        <v>39021011505</v>
      </c>
      <c r="B230" s="239" t="s">
        <v>248</v>
      </c>
      <c r="C230" s="286" t="s">
        <v>2975</v>
      </c>
      <c r="D230" s="865" t="s">
        <v>2975</v>
      </c>
      <c r="E230" s="287" t="s">
        <v>3566</v>
      </c>
      <c r="F230" s="287" t="s">
        <v>3565</v>
      </c>
      <c r="G230" s="288" t="s">
        <v>3568</v>
      </c>
      <c r="H230" s="287">
        <v>43512</v>
      </c>
      <c r="I230" s="287" t="s">
        <v>2975</v>
      </c>
      <c r="J230" s="759"/>
    </row>
    <row r="231" spans="1:10" x14ac:dyDescent="0.2">
      <c r="A231" s="944">
        <v>39021011506</v>
      </c>
      <c r="B231" s="239" t="s">
        <v>249</v>
      </c>
      <c r="C231" s="286" t="s">
        <v>2975</v>
      </c>
      <c r="D231" s="865" t="s">
        <v>2975</v>
      </c>
      <c r="E231" s="287" t="s">
        <v>3566</v>
      </c>
      <c r="F231" s="287" t="s">
        <v>5177</v>
      </c>
      <c r="G231" s="288" t="s">
        <v>3568</v>
      </c>
      <c r="H231" s="287">
        <v>43515</v>
      </c>
      <c r="I231" s="287" t="s">
        <v>2975</v>
      </c>
      <c r="J231" s="759"/>
    </row>
    <row r="232" spans="1:10" x14ac:dyDescent="0.2">
      <c r="A232" s="944">
        <v>39023000200</v>
      </c>
      <c r="B232" s="239" t="s">
        <v>250</v>
      </c>
      <c r="C232" s="286" t="s">
        <v>4330</v>
      </c>
      <c r="D232" s="865" t="s">
        <v>4330</v>
      </c>
      <c r="E232" s="287" t="s">
        <v>3566</v>
      </c>
      <c r="F232" s="287" t="s">
        <v>3559</v>
      </c>
      <c r="G232" s="288" t="s">
        <v>3553</v>
      </c>
      <c r="H232" s="287">
        <v>43516</v>
      </c>
      <c r="I232" s="287" t="s">
        <v>2975</v>
      </c>
      <c r="J232" s="759"/>
    </row>
    <row r="233" spans="1:10" x14ac:dyDescent="0.2">
      <c r="A233" s="944">
        <v>39023000300</v>
      </c>
      <c r="B233" s="239" t="s">
        <v>251</v>
      </c>
      <c r="C233" s="286" t="s">
        <v>4330</v>
      </c>
      <c r="D233" s="865" t="s">
        <v>4330</v>
      </c>
      <c r="E233" s="287" t="s">
        <v>3564</v>
      </c>
      <c r="F233" s="287" t="s">
        <v>3559</v>
      </c>
      <c r="G233" s="288" t="s">
        <v>3553</v>
      </c>
      <c r="H233" s="287">
        <v>43517</v>
      </c>
      <c r="I233" s="287" t="s">
        <v>2975</v>
      </c>
      <c r="J233" s="759"/>
    </row>
    <row r="234" spans="1:10" x14ac:dyDescent="0.2">
      <c r="A234" s="944">
        <v>39023000400</v>
      </c>
      <c r="B234" s="239" t="s">
        <v>252</v>
      </c>
      <c r="C234" s="286" t="s">
        <v>4330</v>
      </c>
      <c r="D234" s="865" t="s">
        <v>4330</v>
      </c>
      <c r="E234" s="287" t="s">
        <v>3564</v>
      </c>
      <c r="F234" s="287" t="s">
        <v>5177</v>
      </c>
      <c r="G234" s="288" t="s">
        <v>3553</v>
      </c>
      <c r="H234" s="287">
        <v>43518</v>
      </c>
      <c r="I234" s="287" t="s">
        <v>2975</v>
      </c>
      <c r="J234" s="759"/>
    </row>
    <row r="235" spans="1:10" x14ac:dyDescent="0.2">
      <c r="A235" s="944">
        <v>39023000500</v>
      </c>
      <c r="B235" s="239" t="s">
        <v>253</v>
      </c>
      <c r="C235" s="286" t="s">
        <v>4330</v>
      </c>
      <c r="D235" s="865" t="s">
        <v>4330</v>
      </c>
      <c r="E235" s="287" t="s">
        <v>3564</v>
      </c>
      <c r="F235" s="287" t="s">
        <v>3565</v>
      </c>
      <c r="G235" s="288" t="s">
        <v>3553</v>
      </c>
      <c r="H235" s="287">
        <v>43519</v>
      </c>
      <c r="I235" s="287" t="s">
        <v>2975</v>
      </c>
      <c r="J235" s="759"/>
    </row>
    <row r="236" spans="1:10" x14ac:dyDescent="0.2">
      <c r="A236" s="944">
        <v>39023000600</v>
      </c>
      <c r="B236" s="239" t="s">
        <v>254</v>
      </c>
      <c r="C236" s="286" t="s">
        <v>4330</v>
      </c>
      <c r="D236" s="865" t="s">
        <v>4330</v>
      </c>
      <c r="E236" s="287" t="s">
        <v>3566</v>
      </c>
      <c r="F236" s="287" t="s">
        <v>5177</v>
      </c>
      <c r="G236" s="288" t="s">
        <v>3553</v>
      </c>
      <c r="H236" s="287">
        <v>43521</v>
      </c>
      <c r="I236" s="287" t="s">
        <v>2975</v>
      </c>
      <c r="J236" s="759"/>
    </row>
    <row r="237" spans="1:10" x14ac:dyDescent="0.2">
      <c r="A237" s="944">
        <v>39023000700</v>
      </c>
      <c r="B237" s="239" t="s">
        <v>255</v>
      </c>
      <c r="C237" s="286" t="s">
        <v>4330</v>
      </c>
      <c r="D237" s="865" t="s">
        <v>4330</v>
      </c>
      <c r="E237" s="287" t="s">
        <v>3563</v>
      </c>
      <c r="F237" s="287" t="s">
        <v>5176</v>
      </c>
      <c r="G237" s="288" t="s">
        <v>3553</v>
      </c>
      <c r="H237" s="287">
        <v>43522</v>
      </c>
      <c r="I237" s="287" t="s">
        <v>2975</v>
      </c>
      <c r="J237" s="759"/>
    </row>
    <row r="238" spans="1:10" x14ac:dyDescent="0.2">
      <c r="A238" s="944">
        <v>39023000901</v>
      </c>
      <c r="B238" s="239" t="s">
        <v>256</v>
      </c>
      <c r="C238" s="286" t="s">
        <v>4330</v>
      </c>
      <c r="D238" s="865" t="s">
        <v>4330</v>
      </c>
      <c r="E238" s="287" t="s">
        <v>3557</v>
      </c>
      <c r="F238" s="287" t="s">
        <v>3558</v>
      </c>
      <c r="G238" s="288" t="s">
        <v>3553</v>
      </c>
      <c r="H238" s="287">
        <v>43523</v>
      </c>
      <c r="I238" s="287" t="s">
        <v>2975</v>
      </c>
      <c r="J238" s="759"/>
    </row>
    <row r="239" spans="1:10" x14ac:dyDescent="0.2">
      <c r="A239" s="944">
        <v>39023000902</v>
      </c>
      <c r="B239" s="239" t="s">
        <v>257</v>
      </c>
      <c r="C239" s="286" t="s">
        <v>4330</v>
      </c>
      <c r="D239" s="865" t="s">
        <v>4330</v>
      </c>
      <c r="E239" s="287" t="s">
        <v>3564</v>
      </c>
      <c r="F239" s="287" t="s">
        <v>5176</v>
      </c>
      <c r="G239" s="288" t="s">
        <v>3553</v>
      </c>
      <c r="H239" s="287">
        <v>43524</v>
      </c>
      <c r="I239" s="287" t="s">
        <v>2975</v>
      </c>
      <c r="J239" s="759"/>
    </row>
    <row r="240" spans="1:10" x14ac:dyDescent="0.2">
      <c r="A240" s="944">
        <v>39023001000</v>
      </c>
      <c r="B240" s="239" t="s">
        <v>258</v>
      </c>
      <c r="C240" s="286" t="s">
        <v>2975</v>
      </c>
      <c r="D240" s="865" t="s">
        <v>2975</v>
      </c>
      <c r="E240" s="287" t="s">
        <v>3564</v>
      </c>
      <c r="F240" s="287" t="s">
        <v>5176</v>
      </c>
      <c r="G240" s="288" t="s">
        <v>3569</v>
      </c>
      <c r="H240" s="287">
        <v>43525</v>
      </c>
      <c r="I240" s="287" t="s">
        <v>2975</v>
      </c>
      <c r="J240" s="759"/>
    </row>
    <row r="241" spans="1:10" x14ac:dyDescent="0.2">
      <c r="A241" s="944">
        <v>39023001101</v>
      </c>
      <c r="B241" s="239" t="s">
        <v>259</v>
      </c>
      <c r="C241" s="286" t="s">
        <v>4330</v>
      </c>
      <c r="D241" s="865" t="s">
        <v>4330</v>
      </c>
      <c r="E241" s="287" t="s">
        <v>3564</v>
      </c>
      <c r="F241" s="287" t="s">
        <v>5176</v>
      </c>
      <c r="G241" s="288" t="s">
        <v>3553</v>
      </c>
      <c r="H241" s="287">
        <v>43526</v>
      </c>
      <c r="I241" s="287" t="s">
        <v>2975</v>
      </c>
      <c r="J241" s="759"/>
    </row>
    <row r="242" spans="1:10" x14ac:dyDescent="0.2">
      <c r="A242" s="944">
        <v>39023001102</v>
      </c>
      <c r="B242" s="239" t="s">
        <v>260</v>
      </c>
      <c r="C242" s="286" t="s">
        <v>2975</v>
      </c>
      <c r="D242" s="865" t="s">
        <v>2975</v>
      </c>
      <c r="E242" s="287" t="s">
        <v>3557</v>
      </c>
      <c r="F242" s="287" t="s">
        <v>3559</v>
      </c>
      <c r="G242" s="288" t="s">
        <v>3569</v>
      </c>
      <c r="H242" s="287">
        <v>43527</v>
      </c>
      <c r="I242" s="287" t="s">
        <v>2975</v>
      </c>
      <c r="J242" s="759"/>
    </row>
    <row r="243" spans="1:10" x14ac:dyDescent="0.2">
      <c r="A243" s="944">
        <v>39023001200</v>
      </c>
      <c r="B243" s="239" t="s">
        <v>261</v>
      </c>
      <c r="C243" s="286" t="s">
        <v>4330</v>
      </c>
      <c r="D243" s="865" t="s">
        <v>4330</v>
      </c>
      <c r="E243" s="287" t="s">
        <v>3557</v>
      </c>
      <c r="F243" s="287" t="s">
        <v>3565</v>
      </c>
      <c r="G243" s="288" t="s">
        <v>3553</v>
      </c>
      <c r="H243" s="287">
        <v>43528</v>
      </c>
      <c r="I243" s="287" t="s">
        <v>2975</v>
      </c>
      <c r="J243" s="759"/>
    </row>
    <row r="244" spans="1:10" x14ac:dyDescent="0.2">
      <c r="A244" s="944">
        <v>39023001300</v>
      </c>
      <c r="B244" s="239" t="s">
        <v>262</v>
      </c>
      <c r="C244" s="286" t="s">
        <v>2975</v>
      </c>
      <c r="D244" s="865" t="s">
        <v>2975</v>
      </c>
      <c r="E244" s="287" t="s">
        <v>3566</v>
      </c>
      <c r="F244" s="287" t="s">
        <v>3558</v>
      </c>
      <c r="G244" s="288" t="s">
        <v>3553</v>
      </c>
      <c r="H244" s="287">
        <v>43529</v>
      </c>
      <c r="I244" s="287" t="s">
        <v>2975</v>
      </c>
      <c r="J244" s="759"/>
    </row>
    <row r="245" spans="1:10" x14ac:dyDescent="0.2">
      <c r="A245" s="944">
        <v>39023001400</v>
      </c>
      <c r="B245" s="239" t="s">
        <v>263</v>
      </c>
      <c r="C245" s="286" t="s">
        <v>2975</v>
      </c>
      <c r="D245" s="865" t="s">
        <v>2975</v>
      </c>
      <c r="E245" s="287" t="s">
        <v>3563</v>
      </c>
      <c r="F245" s="287" t="s">
        <v>5176</v>
      </c>
      <c r="G245" s="288" t="s">
        <v>3553</v>
      </c>
      <c r="H245" s="287">
        <v>43531</v>
      </c>
      <c r="I245" s="287" t="s">
        <v>2975</v>
      </c>
      <c r="J245" s="759"/>
    </row>
    <row r="246" spans="1:10" x14ac:dyDescent="0.2">
      <c r="A246" s="944">
        <v>39023001500</v>
      </c>
      <c r="B246" s="239" t="s">
        <v>264</v>
      </c>
      <c r="C246" s="286" t="s">
        <v>2975</v>
      </c>
      <c r="D246" s="865" t="s">
        <v>2975</v>
      </c>
      <c r="E246" s="287" t="s">
        <v>3563</v>
      </c>
      <c r="F246" s="287" t="s">
        <v>3559</v>
      </c>
      <c r="G246" s="288" t="s">
        <v>3553</v>
      </c>
      <c r="H246" s="287">
        <v>43532</v>
      </c>
      <c r="I246" s="287" t="s">
        <v>2975</v>
      </c>
      <c r="J246" s="759"/>
    </row>
    <row r="247" spans="1:10" x14ac:dyDescent="0.2">
      <c r="A247" s="944">
        <v>39023001600</v>
      </c>
      <c r="B247" s="239" t="s">
        <v>265</v>
      </c>
      <c r="C247" s="286" t="s">
        <v>2975</v>
      </c>
      <c r="D247" s="865" t="s">
        <v>2975</v>
      </c>
      <c r="E247" s="287" t="s">
        <v>3564</v>
      </c>
      <c r="F247" s="287" t="s">
        <v>5176</v>
      </c>
      <c r="G247" s="288" t="s">
        <v>3569</v>
      </c>
      <c r="H247" s="287">
        <v>43533</v>
      </c>
      <c r="I247" s="287" t="s">
        <v>2975</v>
      </c>
      <c r="J247" s="759"/>
    </row>
    <row r="248" spans="1:10" x14ac:dyDescent="0.2">
      <c r="A248" s="944">
        <v>39023001700</v>
      </c>
      <c r="B248" s="239" t="s">
        <v>266</v>
      </c>
      <c r="C248" s="286" t="s">
        <v>2975</v>
      </c>
      <c r="D248" s="865" t="s">
        <v>2975</v>
      </c>
      <c r="E248" s="287" t="s">
        <v>3557</v>
      </c>
      <c r="F248" s="287" t="s">
        <v>3565</v>
      </c>
      <c r="G248" s="288" t="s">
        <v>3569</v>
      </c>
      <c r="H248" s="287">
        <v>43534</v>
      </c>
      <c r="I248" s="287" t="s">
        <v>2975</v>
      </c>
      <c r="J248" s="759"/>
    </row>
    <row r="249" spans="1:10" x14ac:dyDescent="0.2">
      <c r="A249" s="944">
        <v>39023001900</v>
      </c>
      <c r="B249" s="239" t="s">
        <v>267</v>
      </c>
      <c r="C249" s="286" t="s">
        <v>2975</v>
      </c>
      <c r="D249" s="865" t="s">
        <v>2975</v>
      </c>
      <c r="E249" s="287" t="s">
        <v>3566</v>
      </c>
      <c r="F249" s="287" t="s">
        <v>3558</v>
      </c>
      <c r="G249" s="288" t="s">
        <v>3569</v>
      </c>
      <c r="H249" s="287">
        <v>43535</v>
      </c>
      <c r="I249" s="287" t="s">
        <v>2975</v>
      </c>
      <c r="J249" s="759"/>
    </row>
    <row r="250" spans="1:10" x14ac:dyDescent="0.2">
      <c r="A250" s="944">
        <v>39023002000</v>
      </c>
      <c r="B250" s="239" t="s">
        <v>268</v>
      </c>
      <c r="C250" s="286" t="s">
        <v>2975</v>
      </c>
      <c r="D250" s="865" t="s">
        <v>2975</v>
      </c>
      <c r="E250" s="287" t="s">
        <v>3566</v>
      </c>
      <c r="F250" s="287" t="s">
        <v>3559</v>
      </c>
      <c r="G250" s="288" t="s">
        <v>3569</v>
      </c>
      <c r="H250" s="287">
        <v>43536</v>
      </c>
      <c r="I250" s="287" t="s">
        <v>2975</v>
      </c>
      <c r="J250" s="759"/>
    </row>
    <row r="251" spans="1:10" x14ac:dyDescent="0.2">
      <c r="A251" s="944">
        <v>39023002100</v>
      </c>
      <c r="B251" s="239" t="s">
        <v>269</v>
      </c>
      <c r="C251" s="286" t="s">
        <v>2975</v>
      </c>
      <c r="D251" s="865" t="s">
        <v>2975</v>
      </c>
      <c r="E251" s="287" t="s">
        <v>3566</v>
      </c>
      <c r="F251" s="287" t="s">
        <v>5177</v>
      </c>
      <c r="G251" s="288" t="s">
        <v>3569</v>
      </c>
      <c r="H251" s="287">
        <v>43537</v>
      </c>
      <c r="I251" s="287" t="s">
        <v>2975</v>
      </c>
      <c r="J251" s="759"/>
    </row>
    <row r="252" spans="1:10" x14ac:dyDescent="0.2">
      <c r="A252" s="944">
        <v>39023002200</v>
      </c>
      <c r="B252" s="239" t="s">
        <v>270</v>
      </c>
      <c r="C252" s="286" t="s">
        <v>2975</v>
      </c>
      <c r="D252" s="865" t="s">
        <v>2975</v>
      </c>
      <c r="E252" s="287" t="s">
        <v>3566</v>
      </c>
      <c r="F252" s="287" t="s">
        <v>3559</v>
      </c>
      <c r="G252" s="288" t="s">
        <v>3569</v>
      </c>
      <c r="H252" s="287">
        <v>43540</v>
      </c>
      <c r="I252" s="287" t="s">
        <v>2975</v>
      </c>
      <c r="J252" s="759"/>
    </row>
    <row r="253" spans="1:10" x14ac:dyDescent="0.2">
      <c r="A253" s="944">
        <v>39023002301</v>
      </c>
      <c r="B253" s="239" t="s">
        <v>271</v>
      </c>
      <c r="C253" s="286" t="s">
        <v>2975</v>
      </c>
      <c r="D253" s="865" t="s">
        <v>2975</v>
      </c>
      <c r="E253" s="287" t="s">
        <v>3564</v>
      </c>
      <c r="F253" s="287" t="s">
        <v>3559</v>
      </c>
      <c r="G253" s="288" t="s">
        <v>3568</v>
      </c>
      <c r="H253" s="287">
        <v>43541</v>
      </c>
      <c r="I253" s="287" t="s">
        <v>2975</v>
      </c>
      <c r="J253" s="759"/>
    </row>
    <row r="254" spans="1:10" x14ac:dyDescent="0.2">
      <c r="A254" s="944">
        <v>39023002403</v>
      </c>
      <c r="B254" s="239" t="s">
        <v>272</v>
      </c>
      <c r="C254" s="286" t="s">
        <v>2975</v>
      </c>
      <c r="D254" s="865" t="s">
        <v>2975</v>
      </c>
      <c r="E254" s="287" t="s">
        <v>3566</v>
      </c>
      <c r="F254" s="287" t="s">
        <v>3565</v>
      </c>
      <c r="G254" s="288" t="s">
        <v>3569</v>
      </c>
      <c r="H254" s="287">
        <v>43542</v>
      </c>
      <c r="I254" s="287" t="s">
        <v>2975</v>
      </c>
      <c r="J254" s="759"/>
    </row>
    <row r="255" spans="1:10" x14ac:dyDescent="0.2">
      <c r="A255" s="944">
        <v>39023002404</v>
      </c>
      <c r="B255" s="239" t="s">
        <v>273</v>
      </c>
      <c r="C255" s="286" t="s">
        <v>2975</v>
      </c>
      <c r="D255" s="865" t="s">
        <v>2975</v>
      </c>
      <c r="E255" s="287" t="s">
        <v>3564</v>
      </c>
      <c r="F255" s="287" t="s">
        <v>5176</v>
      </c>
      <c r="G255" s="288" t="s">
        <v>3569</v>
      </c>
      <c r="H255" s="287">
        <v>43543</v>
      </c>
      <c r="I255" s="287" t="s">
        <v>2975</v>
      </c>
      <c r="J255" s="759"/>
    </row>
    <row r="256" spans="1:10" x14ac:dyDescent="0.2">
      <c r="A256" s="944">
        <v>39023002501</v>
      </c>
      <c r="B256" s="239" t="s">
        <v>274</v>
      </c>
      <c r="C256" s="286" t="s">
        <v>2975</v>
      </c>
      <c r="D256" s="865" t="s">
        <v>2975</v>
      </c>
      <c r="E256" s="287" t="s">
        <v>3566</v>
      </c>
      <c r="F256" s="287" t="s">
        <v>3559</v>
      </c>
      <c r="G256" s="288" t="s">
        <v>3569</v>
      </c>
      <c r="H256" s="287">
        <v>43545</v>
      </c>
      <c r="I256" s="287" t="s">
        <v>2975</v>
      </c>
      <c r="J256" s="759"/>
    </row>
    <row r="257" spans="1:10" x14ac:dyDescent="0.2">
      <c r="A257" s="944">
        <v>39023002502</v>
      </c>
      <c r="B257" s="239" t="s">
        <v>275</v>
      </c>
      <c r="C257" s="286" t="s">
        <v>2975</v>
      </c>
      <c r="D257" s="865" t="s">
        <v>2975</v>
      </c>
      <c r="E257" s="287" t="s">
        <v>3563</v>
      </c>
      <c r="F257" s="287" t="s">
        <v>3565</v>
      </c>
      <c r="G257" s="288" t="s">
        <v>3568</v>
      </c>
      <c r="H257" s="287">
        <v>43547</v>
      </c>
      <c r="I257" s="287" t="s">
        <v>2975</v>
      </c>
      <c r="J257" s="759"/>
    </row>
    <row r="258" spans="1:10" x14ac:dyDescent="0.2">
      <c r="A258" s="944">
        <v>39023002601</v>
      </c>
      <c r="B258" s="239" t="s">
        <v>276</v>
      </c>
      <c r="C258" s="286" t="s">
        <v>2975</v>
      </c>
      <c r="D258" s="865" t="s">
        <v>2975</v>
      </c>
      <c r="E258" s="287" t="s">
        <v>3563</v>
      </c>
      <c r="F258" s="287" t="s">
        <v>5176</v>
      </c>
      <c r="G258" s="288" t="s">
        <v>3568</v>
      </c>
      <c r="H258" s="287">
        <v>43548</v>
      </c>
      <c r="I258" s="287" t="s">
        <v>2975</v>
      </c>
      <c r="J258" s="759"/>
    </row>
    <row r="259" spans="1:10" x14ac:dyDescent="0.2">
      <c r="A259" s="944">
        <v>39023002602</v>
      </c>
      <c r="B259" s="239" t="s">
        <v>277</v>
      </c>
      <c r="C259" s="286" t="s">
        <v>2975</v>
      </c>
      <c r="D259" s="865" t="s">
        <v>2975</v>
      </c>
      <c r="E259" s="287" t="s">
        <v>3562</v>
      </c>
      <c r="F259" s="287" t="s">
        <v>5177</v>
      </c>
      <c r="G259" s="288" t="s">
        <v>3568</v>
      </c>
      <c r="H259" s="287">
        <v>43549</v>
      </c>
      <c r="I259" s="287" t="s">
        <v>2975</v>
      </c>
      <c r="J259" s="759"/>
    </row>
    <row r="260" spans="1:10" x14ac:dyDescent="0.2">
      <c r="A260" s="944">
        <v>39023002605</v>
      </c>
      <c r="B260" s="239" t="s">
        <v>278</v>
      </c>
      <c r="C260" s="286" t="s">
        <v>2975</v>
      </c>
      <c r="D260" s="865" t="s">
        <v>2975</v>
      </c>
      <c r="E260" s="287" t="s">
        <v>3563</v>
      </c>
      <c r="F260" s="287" t="s">
        <v>3558</v>
      </c>
      <c r="G260" s="288" t="s">
        <v>3568</v>
      </c>
      <c r="H260" s="287">
        <v>43551</v>
      </c>
      <c r="I260" s="287" t="s">
        <v>2975</v>
      </c>
      <c r="J260" s="759"/>
    </row>
    <row r="261" spans="1:10" x14ac:dyDescent="0.2">
      <c r="A261" s="944">
        <v>39023002606</v>
      </c>
      <c r="B261" s="239" t="s">
        <v>279</v>
      </c>
      <c r="C261" s="286" t="s">
        <v>2975</v>
      </c>
      <c r="D261" s="865" t="s">
        <v>2975</v>
      </c>
      <c r="E261" s="287" t="s">
        <v>3566</v>
      </c>
      <c r="F261" s="287" t="s">
        <v>3559</v>
      </c>
      <c r="G261" s="288" t="s">
        <v>3569</v>
      </c>
      <c r="H261" s="287">
        <v>43553</v>
      </c>
      <c r="I261" s="287" t="s">
        <v>2975</v>
      </c>
      <c r="J261" s="759"/>
    </row>
    <row r="262" spans="1:10" x14ac:dyDescent="0.2">
      <c r="A262" s="944">
        <v>39023002701</v>
      </c>
      <c r="B262" s="239" t="s">
        <v>280</v>
      </c>
      <c r="C262" s="286" t="s">
        <v>2975</v>
      </c>
      <c r="D262" s="865" t="s">
        <v>2975</v>
      </c>
      <c r="E262" s="287" t="s">
        <v>3557</v>
      </c>
      <c r="F262" s="287" t="s">
        <v>3558</v>
      </c>
      <c r="G262" s="288" t="s">
        <v>3568</v>
      </c>
      <c r="H262" s="287">
        <v>43554</v>
      </c>
      <c r="I262" s="287" t="s">
        <v>2975</v>
      </c>
      <c r="J262" s="759"/>
    </row>
    <row r="263" spans="1:10" x14ac:dyDescent="0.2">
      <c r="A263" s="944">
        <v>39023002702</v>
      </c>
      <c r="B263" s="239" t="s">
        <v>281</v>
      </c>
      <c r="C263" s="286" t="s">
        <v>2975</v>
      </c>
      <c r="D263" s="865" t="s">
        <v>2975</v>
      </c>
      <c r="E263" s="287" t="s">
        <v>3564</v>
      </c>
      <c r="F263" s="287" t="s">
        <v>5177</v>
      </c>
      <c r="G263" s="288" t="s">
        <v>3569</v>
      </c>
      <c r="H263" s="287">
        <v>43555</v>
      </c>
      <c r="I263" s="287" t="s">
        <v>2975</v>
      </c>
      <c r="J263" s="759"/>
    </row>
    <row r="264" spans="1:10" x14ac:dyDescent="0.2">
      <c r="A264" s="944">
        <v>39023002800</v>
      </c>
      <c r="B264" s="239" t="s">
        <v>282</v>
      </c>
      <c r="C264" s="286" t="s">
        <v>2975</v>
      </c>
      <c r="D264" s="865" t="s">
        <v>2975</v>
      </c>
      <c r="E264" s="287" t="s">
        <v>3566</v>
      </c>
      <c r="F264" s="287" t="s">
        <v>5176</v>
      </c>
      <c r="G264" s="288" t="s">
        <v>3568</v>
      </c>
      <c r="H264" s="287">
        <v>43556</v>
      </c>
      <c r="I264" s="287" t="s">
        <v>2975</v>
      </c>
      <c r="J264" s="759"/>
    </row>
    <row r="265" spans="1:10" x14ac:dyDescent="0.2">
      <c r="A265" s="944">
        <v>39023002901</v>
      </c>
      <c r="B265" s="239" t="s">
        <v>283</v>
      </c>
      <c r="C265" s="286" t="s">
        <v>2975</v>
      </c>
      <c r="D265" s="865" t="s">
        <v>2975</v>
      </c>
      <c r="E265" s="287" t="s">
        <v>3557</v>
      </c>
      <c r="F265" s="287" t="s">
        <v>3559</v>
      </c>
      <c r="G265" s="288" t="s">
        <v>3569</v>
      </c>
      <c r="H265" s="287">
        <v>43557</v>
      </c>
      <c r="I265" s="287" t="s">
        <v>2975</v>
      </c>
      <c r="J265" s="759"/>
    </row>
    <row r="266" spans="1:10" x14ac:dyDescent="0.2">
      <c r="A266" s="944">
        <v>39023002902</v>
      </c>
      <c r="B266" s="239" t="s">
        <v>284</v>
      </c>
      <c r="C266" s="286" t="s">
        <v>2975</v>
      </c>
      <c r="D266" s="865" t="s">
        <v>2975</v>
      </c>
      <c r="E266" s="287" t="s">
        <v>3564</v>
      </c>
      <c r="F266" s="287" t="s">
        <v>3559</v>
      </c>
      <c r="G266" s="288" t="s">
        <v>3568</v>
      </c>
      <c r="H266" s="287">
        <v>43558</v>
      </c>
      <c r="I266" s="287" t="s">
        <v>2975</v>
      </c>
      <c r="J266" s="759"/>
    </row>
    <row r="267" spans="1:10" x14ac:dyDescent="0.2">
      <c r="A267" s="944">
        <v>39023003001</v>
      </c>
      <c r="B267" s="239" t="s">
        <v>285</v>
      </c>
      <c r="C267" s="286" t="s">
        <v>2975</v>
      </c>
      <c r="D267" s="865" t="s">
        <v>2975</v>
      </c>
      <c r="E267" s="287" t="s">
        <v>3563</v>
      </c>
      <c r="F267" s="287" t="s">
        <v>3565</v>
      </c>
      <c r="G267" s="288" t="s">
        <v>3568</v>
      </c>
      <c r="H267" s="287">
        <v>43560</v>
      </c>
      <c r="I267" s="287" t="s">
        <v>2975</v>
      </c>
      <c r="J267" s="759"/>
    </row>
    <row r="268" spans="1:10" x14ac:dyDescent="0.2">
      <c r="A268" s="944">
        <v>39023003002</v>
      </c>
      <c r="B268" s="239" t="s">
        <v>286</v>
      </c>
      <c r="C268" s="286" t="s">
        <v>2975</v>
      </c>
      <c r="D268" s="865" t="s">
        <v>2975</v>
      </c>
      <c r="E268" s="287" t="s">
        <v>3566</v>
      </c>
      <c r="F268" s="287" t="s">
        <v>3565</v>
      </c>
      <c r="G268" s="288" t="s">
        <v>3568</v>
      </c>
      <c r="H268" s="287">
        <v>43565</v>
      </c>
      <c r="I268" s="287" t="s">
        <v>2975</v>
      </c>
      <c r="J268" s="759"/>
    </row>
    <row r="269" spans="1:10" x14ac:dyDescent="0.2">
      <c r="A269" s="944">
        <v>39023003101</v>
      </c>
      <c r="B269" s="239" t="s">
        <v>287</v>
      </c>
      <c r="C269" s="286" t="s">
        <v>2975</v>
      </c>
      <c r="D269" s="865" t="s">
        <v>2975</v>
      </c>
      <c r="E269" s="287" t="s">
        <v>3564</v>
      </c>
      <c r="F269" s="287" t="s">
        <v>5176</v>
      </c>
      <c r="G269" s="288" t="s">
        <v>3568</v>
      </c>
      <c r="H269" s="287">
        <v>43566</v>
      </c>
      <c r="I269" s="287" t="s">
        <v>2975</v>
      </c>
      <c r="J269" s="759"/>
    </row>
    <row r="270" spans="1:10" x14ac:dyDescent="0.2">
      <c r="A270" s="944">
        <v>39023003102</v>
      </c>
      <c r="B270" s="239" t="s">
        <v>288</v>
      </c>
      <c r="C270" s="286" t="s">
        <v>2975</v>
      </c>
      <c r="D270" s="865" t="s">
        <v>2975</v>
      </c>
      <c r="E270" s="287" t="s">
        <v>3564</v>
      </c>
      <c r="F270" s="287" t="s">
        <v>3559</v>
      </c>
      <c r="G270" s="288" t="s">
        <v>3569</v>
      </c>
      <c r="H270" s="287">
        <v>43567</v>
      </c>
      <c r="I270" s="287" t="s">
        <v>2975</v>
      </c>
      <c r="J270" s="759"/>
    </row>
    <row r="271" spans="1:10" x14ac:dyDescent="0.2">
      <c r="A271" s="944">
        <v>39023003200</v>
      </c>
      <c r="B271" s="239" t="s">
        <v>289</v>
      </c>
      <c r="C271" s="286" t="s">
        <v>2975</v>
      </c>
      <c r="D271" s="865" t="s">
        <v>2975</v>
      </c>
      <c r="E271" s="287" t="s">
        <v>3563</v>
      </c>
      <c r="F271" s="287" t="s">
        <v>3559</v>
      </c>
      <c r="G271" s="288" t="s">
        <v>3568</v>
      </c>
      <c r="H271" s="287">
        <v>43569</v>
      </c>
      <c r="I271" s="287" t="s">
        <v>2975</v>
      </c>
      <c r="J271" s="759"/>
    </row>
    <row r="272" spans="1:10" x14ac:dyDescent="0.2">
      <c r="A272" s="944">
        <v>39023003301</v>
      </c>
      <c r="B272" s="239" t="s">
        <v>290</v>
      </c>
      <c r="C272" s="286" t="s">
        <v>2975</v>
      </c>
      <c r="D272" s="865" t="s">
        <v>2975</v>
      </c>
      <c r="E272" s="287" t="s">
        <v>3564</v>
      </c>
      <c r="F272" s="287" t="s">
        <v>3558</v>
      </c>
      <c r="G272" s="288" t="s">
        <v>3568</v>
      </c>
      <c r="H272" s="287">
        <v>43570</v>
      </c>
      <c r="I272" s="287" t="s">
        <v>2975</v>
      </c>
      <c r="J272" s="759"/>
    </row>
    <row r="273" spans="1:10" x14ac:dyDescent="0.2">
      <c r="A273" s="944">
        <v>39023003302</v>
      </c>
      <c r="B273" s="239" t="s">
        <v>291</v>
      </c>
      <c r="C273" s="286" t="s">
        <v>2975</v>
      </c>
      <c r="D273" s="865" t="s">
        <v>2975</v>
      </c>
      <c r="E273" s="287" t="s">
        <v>3566</v>
      </c>
      <c r="F273" s="287" t="s">
        <v>3558</v>
      </c>
      <c r="G273" s="288" t="s">
        <v>3568</v>
      </c>
      <c r="H273" s="287">
        <v>43571</v>
      </c>
      <c r="I273" s="287" t="s">
        <v>2975</v>
      </c>
      <c r="J273" s="759"/>
    </row>
    <row r="274" spans="1:10" x14ac:dyDescent="0.2">
      <c r="A274" s="944">
        <v>39023003400</v>
      </c>
      <c r="B274" s="239" t="s">
        <v>292</v>
      </c>
      <c r="C274" s="286" t="s">
        <v>4330</v>
      </c>
      <c r="D274" s="865" t="s">
        <v>4330</v>
      </c>
      <c r="E274" s="287" t="s">
        <v>3566</v>
      </c>
      <c r="F274" s="287" t="s">
        <v>3565</v>
      </c>
      <c r="G274" s="288" t="s">
        <v>3553</v>
      </c>
      <c r="H274" s="287">
        <v>43604</v>
      </c>
      <c r="I274" s="287" t="s">
        <v>2975</v>
      </c>
      <c r="J274" s="759"/>
    </row>
    <row r="275" spans="1:10" x14ac:dyDescent="0.2">
      <c r="A275" s="944">
        <v>39023003700</v>
      </c>
      <c r="B275" s="239" t="s">
        <v>293</v>
      </c>
      <c r="C275" s="286" t="s">
        <v>2975</v>
      </c>
      <c r="D275" s="865" t="s">
        <v>2975</v>
      </c>
      <c r="E275" s="287" t="s">
        <v>3562</v>
      </c>
      <c r="F275" s="287" t="s">
        <v>5176</v>
      </c>
      <c r="G275" s="288" t="s">
        <v>3553</v>
      </c>
      <c r="H275" s="287">
        <v>43605</v>
      </c>
      <c r="I275" s="287" t="s">
        <v>2975</v>
      </c>
      <c r="J275" s="759"/>
    </row>
    <row r="276" spans="1:10" x14ac:dyDescent="0.2">
      <c r="A276" s="944">
        <v>39025040101</v>
      </c>
      <c r="B276" s="239" t="s">
        <v>294</v>
      </c>
      <c r="C276" s="286" t="s">
        <v>2975</v>
      </c>
      <c r="D276" s="865" t="s">
        <v>2975</v>
      </c>
      <c r="E276" s="287" t="s">
        <v>3564</v>
      </c>
      <c r="F276" s="287" t="s">
        <v>5177</v>
      </c>
      <c r="G276" s="288" t="s">
        <v>3568</v>
      </c>
      <c r="H276" s="287">
        <v>43606</v>
      </c>
      <c r="I276" s="287" t="s">
        <v>2975</v>
      </c>
      <c r="J276" s="759"/>
    </row>
    <row r="277" spans="1:10" x14ac:dyDescent="0.2">
      <c r="A277" s="944">
        <v>39025040102</v>
      </c>
      <c r="B277" s="239" t="s">
        <v>295</v>
      </c>
      <c r="C277" s="286" t="s">
        <v>2975</v>
      </c>
      <c r="D277" s="865" t="s">
        <v>2975</v>
      </c>
      <c r="E277" s="287" t="s">
        <v>3557</v>
      </c>
      <c r="F277" s="287" t="s">
        <v>5176</v>
      </c>
      <c r="G277" s="288" t="s">
        <v>3568</v>
      </c>
      <c r="H277" s="287">
        <v>43607</v>
      </c>
      <c r="I277" s="287" t="s">
        <v>2975</v>
      </c>
      <c r="J277" s="759"/>
    </row>
    <row r="278" spans="1:10" x14ac:dyDescent="0.2">
      <c r="A278" s="944">
        <v>39025040202</v>
      </c>
      <c r="B278" s="239" t="s">
        <v>296</v>
      </c>
      <c r="C278" s="286" t="s">
        <v>2975</v>
      </c>
      <c r="D278" s="865" t="s">
        <v>2975</v>
      </c>
      <c r="E278" s="287" t="s">
        <v>3564</v>
      </c>
      <c r="F278" s="287" t="s">
        <v>3559</v>
      </c>
      <c r="G278" s="288" t="s">
        <v>3568</v>
      </c>
      <c r="H278" s="287">
        <v>43608</v>
      </c>
      <c r="I278" s="287" t="s">
        <v>2975</v>
      </c>
      <c r="J278" s="759"/>
    </row>
    <row r="279" spans="1:10" x14ac:dyDescent="0.2">
      <c r="A279" s="944">
        <v>39025040203</v>
      </c>
      <c r="B279" s="239" t="s">
        <v>297</v>
      </c>
      <c r="C279" s="286" t="s">
        <v>2975</v>
      </c>
      <c r="D279" s="865" t="s">
        <v>2975</v>
      </c>
      <c r="E279" s="287" t="s">
        <v>3563</v>
      </c>
      <c r="F279" s="287" t="s">
        <v>3565</v>
      </c>
      <c r="G279" s="288" t="s">
        <v>3568</v>
      </c>
      <c r="H279" s="287">
        <v>43609</v>
      </c>
      <c r="I279" s="287" t="s">
        <v>2975</v>
      </c>
      <c r="J279" s="759"/>
    </row>
    <row r="280" spans="1:10" x14ac:dyDescent="0.2">
      <c r="A280" s="944">
        <v>39025040204</v>
      </c>
      <c r="B280" s="239" t="s">
        <v>298</v>
      </c>
      <c r="C280" s="286" t="s">
        <v>2975</v>
      </c>
      <c r="D280" s="865" t="s">
        <v>2975</v>
      </c>
      <c r="E280" s="287" t="s">
        <v>3564</v>
      </c>
      <c r="F280" s="287" t="s">
        <v>5176</v>
      </c>
      <c r="G280" s="288" t="s">
        <v>3568</v>
      </c>
      <c r="H280" s="287">
        <v>43610</v>
      </c>
      <c r="I280" s="287" t="s">
        <v>2975</v>
      </c>
      <c r="J280" s="759"/>
    </row>
    <row r="281" spans="1:10" x14ac:dyDescent="0.2">
      <c r="A281" s="944">
        <v>39025040301</v>
      </c>
      <c r="B281" s="239" t="s">
        <v>299</v>
      </c>
      <c r="C281" s="286" t="s">
        <v>2975</v>
      </c>
      <c r="D281" s="865" t="s">
        <v>2975</v>
      </c>
      <c r="E281" s="287" t="s">
        <v>3562</v>
      </c>
      <c r="F281" s="287" t="s">
        <v>3560</v>
      </c>
      <c r="G281" s="288" t="s">
        <v>3569</v>
      </c>
      <c r="H281" s="287">
        <v>43611</v>
      </c>
      <c r="I281" s="287" t="s">
        <v>2975</v>
      </c>
      <c r="J281" s="759"/>
    </row>
    <row r="282" spans="1:10" x14ac:dyDescent="0.2">
      <c r="A282" s="944">
        <v>39025040302</v>
      </c>
      <c r="B282" s="239" t="s">
        <v>300</v>
      </c>
      <c r="C282" s="286" t="s">
        <v>2975</v>
      </c>
      <c r="D282" s="865" t="s">
        <v>2975</v>
      </c>
      <c r="E282" s="287" t="s">
        <v>3562</v>
      </c>
      <c r="F282" s="287" t="s">
        <v>5177</v>
      </c>
      <c r="G282" s="288" t="s">
        <v>3569</v>
      </c>
      <c r="H282" s="287">
        <v>43612</v>
      </c>
      <c r="I282" s="287" t="s">
        <v>2975</v>
      </c>
      <c r="J282" s="759"/>
    </row>
    <row r="283" spans="1:10" x14ac:dyDescent="0.2">
      <c r="A283" s="944">
        <v>39025040303</v>
      </c>
      <c r="B283" s="239" t="s">
        <v>301</v>
      </c>
      <c r="C283" s="286" t="s">
        <v>2975</v>
      </c>
      <c r="D283" s="865" t="s">
        <v>2975</v>
      </c>
      <c r="E283" s="287" t="s">
        <v>3563</v>
      </c>
      <c r="F283" s="287" t="s">
        <v>3558</v>
      </c>
      <c r="G283" s="288" t="s">
        <v>3569</v>
      </c>
      <c r="H283" s="287">
        <v>43613</v>
      </c>
      <c r="I283" s="287" t="s">
        <v>2975</v>
      </c>
      <c r="J283" s="759"/>
    </row>
    <row r="284" spans="1:10" x14ac:dyDescent="0.2">
      <c r="A284" s="944">
        <v>39025040401</v>
      </c>
      <c r="B284" s="239" t="s">
        <v>302</v>
      </c>
      <c r="C284" s="286" t="s">
        <v>2975</v>
      </c>
      <c r="D284" s="865" t="s">
        <v>2975</v>
      </c>
      <c r="E284" s="287" t="s">
        <v>3563</v>
      </c>
      <c r="F284" s="287" t="s">
        <v>5176</v>
      </c>
      <c r="G284" s="288" t="s">
        <v>3569</v>
      </c>
      <c r="H284" s="287">
        <v>43614</v>
      </c>
      <c r="I284" s="287" t="s">
        <v>2975</v>
      </c>
      <c r="J284" s="759"/>
    </row>
    <row r="285" spans="1:10" x14ac:dyDescent="0.2">
      <c r="A285" s="944">
        <v>39025040403</v>
      </c>
      <c r="B285" s="239" t="s">
        <v>303</v>
      </c>
      <c r="C285" s="286" t="s">
        <v>2975</v>
      </c>
      <c r="D285" s="865" t="s">
        <v>2975</v>
      </c>
      <c r="E285" s="287" t="s">
        <v>3564</v>
      </c>
      <c r="F285" s="287" t="s">
        <v>3565</v>
      </c>
      <c r="G285" s="288" t="s">
        <v>3569</v>
      </c>
      <c r="H285" s="287">
        <v>43615</v>
      </c>
      <c r="I285" s="287" t="s">
        <v>2975</v>
      </c>
      <c r="J285" s="759"/>
    </row>
    <row r="286" spans="1:10" x14ac:dyDescent="0.2">
      <c r="A286" s="944">
        <v>39025040404</v>
      </c>
      <c r="B286" s="239" t="s">
        <v>304</v>
      </c>
      <c r="C286" s="286" t="s">
        <v>2975</v>
      </c>
      <c r="D286" s="865" t="s">
        <v>2975</v>
      </c>
      <c r="E286" s="287" t="s">
        <v>3562</v>
      </c>
      <c r="F286" s="287" t="s">
        <v>3565</v>
      </c>
      <c r="G286" s="288" t="s">
        <v>3569</v>
      </c>
      <c r="H286" s="287">
        <v>43616</v>
      </c>
      <c r="I286" s="287" t="s">
        <v>2975</v>
      </c>
      <c r="J286" s="759"/>
    </row>
    <row r="287" spans="1:10" x14ac:dyDescent="0.2">
      <c r="A287" s="944">
        <v>39025040405</v>
      </c>
      <c r="B287" s="239" t="s">
        <v>305</v>
      </c>
      <c r="C287" s="286" t="s">
        <v>2975</v>
      </c>
      <c r="D287" s="865" t="s">
        <v>2975</v>
      </c>
      <c r="E287" s="287" t="s">
        <v>3563</v>
      </c>
      <c r="F287" s="287" t="s">
        <v>3558</v>
      </c>
      <c r="G287" s="288" t="s">
        <v>3569</v>
      </c>
      <c r="H287" s="287">
        <v>43617</v>
      </c>
      <c r="I287" s="287" t="s">
        <v>2975</v>
      </c>
      <c r="J287" s="759"/>
    </row>
    <row r="288" spans="1:10" x14ac:dyDescent="0.2">
      <c r="A288" s="944">
        <v>39025040500</v>
      </c>
      <c r="B288" s="239" t="s">
        <v>306</v>
      </c>
      <c r="C288" s="286" t="s">
        <v>4330</v>
      </c>
      <c r="D288" s="865" t="s">
        <v>4330</v>
      </c>
      <c r="E288" s="287" t="s">
        <v>3566</v>
      </c>
      <c r="F288" s="287" t="s">
        <v>5177</v>
      </c>
      <c r="G288" s="288" t="s">
        <v>3569</v>
      </c>
      <c r="H288" s="287">
        <v>43619</v>
      </c>
      <c r="I288" s="287" t="s">
        <v>2975</v>
      </c>
      <c r="J288" s="759"/>
    </row>
    <row r="289" spans="1:10" x14ac:dyDescent="0.2">
      <c r="A289" s="944">
        <v>39025040600</v>
      </c>
      <c r="B289" s="239" t="s">
        <v>307</v>
      </c>
      <c r="C289" s="286" t="s">
        <v>2975</v>
      </c>
      <c r="D289" s="865" t="s">
        <v>2975</v>
      </c>
      <c r="E289" s="287" t="s">
        <v>3566</v>
      </c>
      <c r="F289" s="287" t="s">
        <v>3558</v>
      </c>
      <c r="G289" s="288" t="s">
        <v>3569</v>
      </c>
      <c r="H289" s="287">
        <v>43620</v>
      </c>
      <c r="I289" s="287" t="s">
        <v>2975</v>
      </c>
      <c r="J289" s="759"/>
    </row>
    <row r="290" spans="1:10" x14ac:dyDescent="0.2">
      <c r="A290" s="944">
        <v>39025040701</v>
      </c>
      <c r="B290" s="239" t="s">
        <v>308</v>
      </c>
      <c r="C290" s="286" t="s">
        <v>2975</v>
      </c>
      <c r="D290" s="865" t="s">
        <v>2975</v>
      </c>
      <c r="E290" s="287" t="s">
        <v>3566</v>
      </c>
      <c r="F290" s="287" t="s">
        <v>5177</v>
      </c>
      <c r="G290" s="288" t="s">
        <v>3569</v>
      </c>
      <c r="H290" s="287">
        <v>43623</v>
      </c>
      <c r="I290" s="287" t="s">
        <v>2975</v>
      </c>
      <c r="J290" s="759"/>
    </row>
    <row r="291" spans="1:10" x14ac:dyDescent="0.2">
      <c r="A291" s="944">
        <v>39025040702</v>
      </c>
      <c r="B291" s="239" t="s">
        <v>309</v>
      </c>
      <c r="C291" s="286" t="s">
        <v>2975</v>
      </c>
      <c r="D291" s="865" t="s">
        <v>2975</v>
      </c>
      <c r="E291" s="287" t="s">
        <v>3564</v>
      </c>
      <c r="F291" s="287" t="s">
        <v>3559</v>
      </c>
      <c r="G291" s="288" t="s">
        <v>3569</v>
      </c>
      <c r="H291" s="287">
        <v>43701</v>
      </c>
      <c r="I291" s="287" t="s">
        <v>2975</v>
      </c>
      <c r="J291" s="759"/>
    </row>
    <row r="292" spans="1:10" x14ac:dyDescent="0.2">
      <c r="A292" s="944">
        <v>39025040800</v>
      </c>
      <c r="B292" s="239" t="s">
        <v>310</v>
      </c>
      <c r="C292" s="286" t="s">
        <v>2975</v>
      </c>
      <c r="D292" s="865" t="s">
        <v>2975</v>
      </c>
      <c r="E292" s="287" t="s">
        <v>3564</v>
      </c>
      <c r="F292" s="287" t="s">
        <v>3565</v>
      </c>
      <c r="G292" s="288" t="s">
        <v>3568</v>
      </c>
      <c r="H292" s="287">
        <v>43711</v>
      </c>
      <c r="I292" s="287" t="s">
        <v>2975</v>
      </c>
      <c r="J292" s="759"/>
    </row>
    <row r="293" spans="1:10" x14ac:dyDescent="0.2">
      <c r="A293" s="944">
        <v>39025040900</v>
      </c>
      <c r="B293" s="239" t="s">
        <v>311</v>
      </c>
      <c r="C293" s="286" t="s">
        <v>2975</v>
      </c>
      <c r="D293" s="865" t="s">
        <v>2975</v>
      </c>
      <c r="E293" s="287" t="s">
        <v>3566</v>
      </c>
      <c r="F293" s="287" t="s">
        <v>5177</v>
      </c>
      <c r="G293" s="288" t="s">
        <v>3568</v>
      </c>
      <c r="H293" s="287">
        <v>43713</v>
      </c>
      <c r="I293" s="287" t="s">
        <v>2975</v>
      </c>
      <c r="J293" s="759"/>
    </row>
    <row r="294" spans="1:10" x14ac:dyDescent="0.2">
      <c r="A294" s="944">
        <v>39025041000</v>
      </c>
      <c r="B294" s="239" t="s">
        <v>312</v>
      </c>
      <c r="C294" s="286" t="s">
        <v>2975</v>
      </c>
      <c r="D294" s="865" t="s">
        <v>2975</v>
      </c>
      <c r="E294" s="287" t="s">
        <v>3562</v>
      </c>
      <c r="F294" s="287" t="s">
        <v>5177</v>
      </c>
      <c r="G294" s="288" t="s">
        <v>3568</v>
      </c>
      <c r="H294" s="287">
        <v>43716</v>
      </c>
      <c r="I294" s="287" t="s">
        <v>2975</v>
      </c>
      <c r="J294" s="759"/>
    </row>
    <row r="295" spans="1:10" x14ac:dyDescent="0.2">
      <c r="A295" s="944">
        <v>39025041101</v>
      </c>
      <c r="B295" s="239" t="s">
        <v>313</v>
      </c>
      <c r="C295" s="286" t="s">
        <v>2975</v>
      </c>
      <c r="D295" s="865" t="s">
        <v>2975</v>
      </c>
      <c r="E295" s="287" t="s">
        <v>3564</v>
      </c>
      <c r="F295" s="287" t="s">
        <v>5176</v>
      </c>
      <c r="G295" s="288" t="s">
        <v>3569</v>
      </c>
      <c r="H295" s="287">
        <v>43717</v>
      </c>
      <c r="I295" s="287" t="s">
        <v>2975</v>
      </c>
      <c r="J295" s="759"/>
    </row>
    <row r="296" spans="1:10" x14ac:dyDescent="0.2">
      <c r="A296" s="944">
        <v>39025041102</v>
      </c>
      <c r="B296" s="239" t="s">
        <v>314</v>
      </c>
      <c r="C296" s="286" t="s">
        <v>4330</v>
      </c>
      <c r="D296" s="865" t="s">
        <v>4330</v>
      </c>
      <c r="E296" s="287" t="s">
        <v>3557</v>
      </c>
      <c r="F296" s="287" t="s">
        <v>5177</v>
      </c>
      <c r="G296" s="288" t="s">
        <v>3569</v>
      </c>
      <c r="H296" s="287">
        <v>43718</v>
      </c>
      <c r="I296" s="287" t="s">
        <v>2975</v>
      </c>
      <c r="J296" s="759"/>
    </row>
    <row r="297" spans="1:10" x14ac:dyDescent="0.2">
      <c r="A297" s="944">
        <v>39025041103</v>
      </c>
      <c r="B297" s="239" t="s">
        <v>315</v>
      </c>
      <c r="C297" s="286" t="s">
        <v>2975</v>
      </c>
      <c r="D297" s="865" t="s">
        <v>2975</v>
      </c>
      <c r="E297" s="287" t="s">
        <v>3564</v>
      </c>
      <c r="F297" s="287" t="s">
        <v>3558</v>
      </c>
      <c r="G297" s="288" t="s">
        <v>3569</v>
      </c>
      <c r="H297" s="287">
        <v>43719</v>
      </c>
      <c r="I297" s="287" t="s">
        <v>2975</v>
      </c>
      <c r="J297" s="759"/>
    </row>
    <row r="298" spans="1:10" x14ac:dyDescent="0.2">
      <c r="A298" s="944">
        <v>39025041200</v>
      </c>
      <c r="B298" s="239" t="s">
        <v>316</v>
      </c>
      <c r="C298" s="286" t="s">
        <v>2975</v>
      </c>
      <c r="D298" s="865" t="s">
        <v>2975</v>
      </c>
      <c r="E298" s="287" t="s">
        <v>3564</v>
      </c>
      <c r="F298" s="287" t="s">
        <v>5176</v>
      </c>
      <c r="G298" s="288" t="s">
        <v>3569</v>
      </c>
      <c r="H298" s="287">
        <v>43720</v>
      </c>
      <c r="I298" s="287" t="s">
        <v>2975</v>
      </c>
      <c r="J298" s="759"/>
    </row>
    <row r="299" spans="1:10" x14ac:dyDescent="0.2">
      <c r="A299" s="944">
        <v>39025041303</v>
      </c>
      <c r="B299" s="239" t="s">
        <v>317</v>
      </c>
      <c r="C299" s="286" t="s">
        <v>2975</v>
      </c>
      <c r="D299" s="865" t="s">
        <v>2975</v>
      </c>
      <c r="E299" s="287" t="s">
        <v>3564</v>
      </c>
      <c r="F299" s="287" t="s">
        <v>3565</v>
      </c>
      <c r="G299" s="288" t="s">
        <v>3569</v>
      </c>
      <c r="H299" s="287">
        <v>43721</v>
      </c>
      <c r="I299" s="287" t="s">
        <v>2975</v>
      </c>
      <c r="J299" s="759"/>
    </row>
    <row r="300" spans="1:10" x14ac:dyDescent="0.2">
      <c r="A300" s="944">
        <v>39025041304</v>
      </c>
      <c r="B300" s="239" t="s">
        <v>318</v>
      </c>
      <c r="C300" s="286" t="s">
        <v>2975</v>
      </c>
      <c r="D300" s="865" t="s">
        <v>2975</v>
      </c>
      <c r="E300" s="287"/>
      <c r="F300" s="287" t="s">
        <v>5178</v>
      </c>
      <c r="G300" s="288" t="s">
        <v>3568</v>
      </c>
      <c r="H300" s="287">
        <v>43722</v>
      </c>
      <c r="I300" s="287" t="s">
        <v>2975</v>
      </c>
      <c r="J300" s="759"/>
    </row>
    <row r="301" spans="1:10" x14ac:dyDescent="0.2">
      <c r="A301" s="944">
        <v>39025041305</v>
      </c>
      <c r="B301" s="239" t="s">
        <v>319</v>
      </c>
      <c r="C301" s="286" t="s">
        <v>2975</v>
      </c>
      <c r="D301" s="865" t="s">
        <v>2975</v>
      </c>
      <c r="E301" s="287" t="s">
        <v>3564</v>
      </c>
      <c r="F301" s="287" t="s">
        <v>3565</v>
      </c>
      <c r="G301" s="288" t="s">
        <v>3569</v>
      </c>
      <c r="H301" s="287">
        <v>43723</v>
      </c>
      <c r="I301" s="287" t="s">
        <v>2975</v>
      </c>
      <c r="J301" s="759"/>
    </row>
    <row r="302" spans="1:10" x14ac:dyDescent="0.2">
      <c r="A302" s="944">
        <v>39025041306</v>
      </c>
      <c r="B302" s="239" t="s">
        <v>320</v>
      </c>
      <c r="C302" s="286" t="s">
        <v>2975</v>
      </c>
      <c r="D302" s="865" t="s">
        <v>4330</v>
      </c>
      <c r="E302" s="287" t="s">
        <v>3566</v>
      </c>
      <c r="F302" s="287" t="s">
        <v>3559</v>
      </c>
      <c r="G302" s="288" t="s">
        <v>3569</v>
      </c>
      <c r="H302" s="287">
        <v>43724</v>
      </c>
      <c r="I302" s="287" t="s">
        <v>2975</v>
      </c>
      <c r="J302" s="759"/>
    </row>
    <row r="303" spans="1:10" x14ac:dyDescent="0.2">
      <c r="A303" s="944">
        <v>39025041307</v>
      </c>
      <c r="B303" s="239" t="s">
        <v>321</v>
      </c>
      <c r="C303" s="286" t="s">
        <v>2975</v>
      </c>
      <c r="D303" s="865" t="s">
        <v>2975</v>
      </c>
      <c r="E303" s="287" t="s">
        <v>3564</v>
      </c>
      <c r="F303" s="287" t="s">
        <v>3559</v>
      </c>
      <c r="G303" s="288" t="s">
        <v>3569</v>
      </c>
      <c r="H303" s="287">
        <v>43725</v>
      </c>
      <c r="I303" s="287" t="s">
        <v>2975</v>
      </c>
      <c r="J303" s="759"/>
    </row>
    <row r="304" spans="1:10" x14ac:dyDescent="0.2">
      <c r="A304" s="944">
        <v>39025041403</v>
      </c>
      <c r="B304" s="239" t="s">
        <v>322</v>
      </c>
      <c r="C304" s="286" t="s">
        <v>2975</v>
      </c>
      <c r="D304" s="865" t="s">
        <v>2975</v>
      </c>
      <c r="E304" s="287" t="s">
        <v>3564</v>
      </c>
      <c r="F304" s="287" t="s">
        <v>3565</v>
      </c>
      <c r="G304" s="288" t="s">
        <v>3569</v>
      </c>
      <c r="H304" s="287">
        <v>43727</v>
      </c>
      <c r="I304" s="287" t="s">
        <v>2975</v>
      </c>
      <c r="J304" s="759"/>
    </row>
    <row r="305" spans="1:10" x14ac:dyDescent="0.2">
      <c r="A305" s="944">
        <v>39025041404</v>
      </c>
      <c r="B305" s="239" t="s">
        <v>323</v>
      </c>
      <c r="C305" s="286" t="s">
        <v>2975</v>
      </c>
      <c r="D305" s="865" t="s">
        <v>2975</v>
      </c>
      <c r="E305" s="287" t="s">
        <v>3564</v>
      </c>
      <c r="F305" s="287" t="s">
        <v>3565</v>
      </c>
      <c r="G305" s="288" t="s">
        <v>3569</v>
      </c>
      <c r="H305" s="287">
        <v>43728</v>
      </c>
      <c r="I305" s="287" t="s">
        <v>2975</v>
      </c>
      <c r="J305" s="759"/>
    </row>
    <row r="306" spans="1:10" x14ac:dyDescent="0.2">
      <c r="A306" s="944">
        <v>39025041405</v>
      </c>
      <c r="B306" s="239" t="s">
        <v>324</v>
      </c>
      <c r="C306" s="286" t="s">
        <v>2975</v>
      </c>
      <c r="D306" s="865" t="s">
        <v>2975</v>
      </c>
      <c r="E306" s="287" t="s">
        <v>3564</v>
      </c>
      <c r="F306" s="287" t="s">
        <v>5176</v>
      </c>
      <c r="G306" s="288" t="s">
        <v>3569</v>
      </c>
      <c r="H306" s="287">
        <v>43730</v>
      </c>
      <c r="I306" s="287" t="s">
        <v>2975</v>
      </c>
      <c r="J306" s="759"/>
    </row>
    <row r="307" spans="1:10" x14ac:dyDescent="0.2">
      <c r="A307" s="944">
        <v>39025041406</v>
      </c>
      <c r="B307" s="239" t="s">
        <v>325</v>
      </c>
      <c r="C307" s="286" t="s">
        <v>2975</v>
      </c>
      <c r="D307" s="865" t="s">
        <v>2975</v>
      </c>
      <c r="E307" s="287" t="s">
        <v>3563</v>
      </c>
      <c r="F307" s="287" t="s">
        <v>3565</v>
      </c>
      <c r="G307" s="288" t="s">
        <v>3569</v>
      </c>
      <c r="H307" s="287">
        <v>43731</v>
      </c>
      <c r="I307" s="287" t="s">
        <v>2975</v>
      </c>
      <c r="J307" s="759"/>
    </row>
    <row r="308" spans="1:10" x14ac:dyDescent="0.2">
      <c r="A308" s="944">
        <v>39025041501</v>
      </c>
      <c r="B308" s="239" t="s">
        <v>326</v>
      </c>
      <c r="C308" s="286" t="s">
        <v>2975</v>
      </c>
      <c r="D308" s="865" t="s">
        <v>2975</v>
      </c>
      <c r="E308" s="287" t="s">
        <v>3562</v>
      </c>
      <c r="F308" s="287" t="s">
        <v>3559</v>
      </c>
      <c r="G308" s="288" t="s">
        <v>3568</v>
      </c>
      <c r="H308" s="287">
        <v>43732</v>
      </c>
      <c r="I308" s="287" t="s">
        <v>2975</v>
      </c>
      <c r="J308" s="759"/>
    </row>
    <row r="309" spans="1:10" x14ac:dyDescent="0.2">
      <c r="A309" s="944">
        <v>39025041502</v>
      </c>
      <c r="B309" s="239" t="s">
        <v>327</v>
      </c>
      <c r="C309" s="286" t="s">
        <v>2975</v>
      </c>
      <c r="D309" s="865" t="s">
        <v>2975</v>
      </c>
      <c r="E309" s="287" t="s">
        <v>3564</v>
      </c>
      <c r="F309" s="287" t="s">
        <v>3558</v>
      </c>
      <c r="G309" s="288" t="s">
        <v>3569</v>
      </c>
      <c r="H309" s="287">
        <v>43733</v>
      </c>
      <c r="I309" s="287" t="s">
        <v>2975</v>
      </c>
      <c r="J309" s="759"/>
    </row>
    <row r="310" spans="1:10" x14ac:dyDescent="0.2">
      <c r="A310" s="944">
        <v>39025041600</v>
      </c>
      <c r="B310" s="239" t="s">
        <v>328</v>
      </c>
      <c r="C310" s="286" t="s">
        <v>2975</v>
      </c>
      <c r="D310" s="865" t="s">
        <v>2975</v>
      </c>
      <c r="E310" s="287" t="s">
        <v>3557</v>
      </c>
      <c r="F310" s="287" t="s">
        <v>3558</v>
      </c>
      <c r="G310" s="288" t="s">
        <v>3568</v>
      </c>
      <c r="H310" s="287">
        <v>43734</v>
      </c>
      <c r="I310" s="287" t="s">
        <v>2975</v>
      </c>
      <c r="J310" s="759"/>
    </row>
    <row r="311" spans="1:10" x14ac:dyDescent="0.2">
      <c r="A311" s="944">
        <v>39025041701</v>
      </c>
      <c r="B311" s="239" t="s">
        <v>329</v>
      </c>
      <c r="C311" s="286" t="s">
        <v>2975</v>
      </c>
      <c r="D311" s="865" t="s">
        <v>2975</v>
      </c>
      <c r="E311" s="287" t="s">
        <v>3557</v>
      </c>
      <c r="F311" s="287" t="s">
        <v>5176</v>
      </c>
      <c r="G311" s="288" t="s">
        <v>3568</v>
      </c>
      <c r="H311" s="287">
        <v>43735</v>
      </c>
      <c r="I311" s="287" t="s">
        <v>2975</v>
      </c>
      <c r="J311" s="759"/>
    </row>
    <row r="312" spans="1:10" x14ac:dyDescent="0.2">
      <c r="A312" s="944">
        <v>39025041702</v>
      </c>
      <c r="B312" s="239" t="s">
        <v>330</v>
      </c>
      <c r="C312" s="286" t="s">
        <v>2975</v>
      </c>
      <c r="D312" s="865" t="s">
        <v>2975</v>
      </c>
      <c r="E312" s="287" t="s">
        <v>3566</v>
      </c>
      <c r="F312" s="287" t="s">
        <v>5177</v>
      </c>
      <c r="G312" s="288" t="s">
        <v>3568</v>
      </c>
      <c r="H312" s="287">
        <v>43736</v>
      </c>
      <c r="I312" s="287" t="s">
        <v>2975</v>
      </c>
      <c r="J312" s="759"/>
    </row>
    <row r="313" spans="1:10" x14ac:dyDescent="0.2">
      <c r="A313" s="944">
        <v>39025041800</v>
      </c>
      <c r="B313" s="239" t="s">
        <v>331</v>
      </c>
      <c r="C313" s="286" t="s">
        <v>2975</v>
      </c>
      <c r="D313" s="865" t="s">
        <v>2975</v>
      </c>
      <c r="E313" s="287" t="s">
        <v>3557</v>
      </c>
      <c r="F313" s="287" t="s">
        <v>5176</v>
      </c>
      <c r="G313" s="288" t="s">
        <v>3568</v>
      </c>
      <c r="H313" s="287">
        <v>43738</v>
      </c>
      <c r="I313" s="287" t="s">
        <v>2975</v>
      </c>
      <c r="J313" s="759"/>
    </row>
    <row r="314" spans="1:10" x14ac:dyDescent="0.2">
      <c r="A314" s="944">
        <v>39025041900</v>
      </c>
      <c r="B314" s="239" t="s">
        <v>332</v>
      </c>
      <c r="C314" s="286" t="s">
        <v>2975</v>
      </c>
      <c r="D314" s="865" t="s">
        <v>2975</v>
      </c>
      <c r="E314" s="287" t="s">
        <v>3566</v>
      </c>
      <c r="F314" s="287" t="s">
        <v>3558</v>
      </c>
      <c r="G314" s="288" t="s">
        <v>3568</v>
      </c>
      <c r="H314" s="287">
        <v>43739</v>
      </c>
      <c r="I314" s="287" t="s">
        <v>2975</v>
      </c>
      <c r="J314" s="759"/>
    </row>
    <row r="315" spans="1:10" x14ac:dyDescent="0.2">
      <c r="A315" s="944">
        <v>39025042000</v>
      </c>
      <c r="B315" s="239" t="s">
        <v>333</v>
      </c>
      <c r="C315" s="286" t="s">
        <v>2975</v>
      </c>
      <c r="D315" s="865" t="s">
        <v>2975</v>
      </c>
      <c r="E315" s="287" t="s">
        <v>3557</v>
      </c>
      <c r="F315" s="287" t="s">
        <v>5177</v>
      </c>
      <c r="G315" s="288" t="s">
        <v>3568</v>
      </c>
      <c r="H315" s="287">
        <v>43740</v>
      </c>
      <c r="I315" s="287" t="s">
        <v>2975</v>
      </c>
      <c r="J315" s="759"/>
    </row>
    <row r="316" spans="1:10" x14ac:dyDescent="0.2">
      <c r="A316" s="944">
        <v>39027964300</v>
      </c>
      <c r="B316" s="239" t="s">
        <v>334</v>
      </c>
      <c r="C316" s="286" t="s">
        <v>2975</v>
      </c>
      <c r="D316" s="865" t="s">
        <v>2975</v>
      </c>
      <c r="E316" s="287" t="s">
        <v>3557</v>
      </c>
      <c r="F316" s="287" t="s">
        <v>3558</v>
      </c>
      <c r="G316" s="288" t="s">
        <v>3568</v>
      </c>
      <c r="H316" s="287">
        <v>43746</v>
      </c>
      <c r="I316" s="287" t="s">
        <v>2975</v>
      </c>
      <c r="J316" s="759"/>
    </row>
    <row r="317" spans="1:10" x14ac:dyDescent="0.2">
      <c r="A317" s="944">
        <v>39027964400</v>
      </c>
      <c r="B317" s="239" t="s">
        <v>335</v>
      </c>
      <c r="C317" s="286" t="s">
        <v>2975</v>
      </c>
      <c r="D317" s="865" t="s">
        <v>2975</v>
      </c>
      <c r="E317" s="287" t="s">
        <v>3566</v>
      </c>
      <c r="F317" s="287" t="s">
        <v>5177</v>
      </c>
      <c r="G317" s="288" t="s">
        <v>3568</v>
      </c>
      <c r="H317" s="287">
        <v>43747</v>
      </c>
      <c r="I317" s="287" t="s">
        <v>2975</v>
      </c>
      <c r="J317" s="759"/>
    </row>
    <row r="318" spans="1:10" x14ac:dyDescent="0.2">
      <c r="A318" s="944">
        <v>39027964500</v>
      </c>
      <c r="B318" s="239" t="s">
        <v>336</v>
      </c>
      <c r="C318" s="286" t="s">
        <v>2975</v>
      </c>
      <c r="D318" s="865" t="s">
        <v>2975</v>
      </c>
      <c r="E318" s="287" t="s">
        <v>3564</v>
      </c>
      <c r="F318" s="287" t="s">
        <v>3558</v>
      </c>
      <c r="G318" s="288" t="s">
        <v>3568</v>
      </c>
      <c r="H318" s="287">
        <v>43748</v>
      </c>
      <c r="I318" s="287" t="s">
        <v>2975</v>
      </c>
      <c r="J318" s="759"/>
    </row>
    <row r="319" spans="1:10" x14ac:dyDescent="0.2">
      <c r="A319" s="944">
        <v>39027964600</v>
      </c>
      <c r="B319" s="239" t="s">
        <v>337</v>
      </c>
      <c r="C319" s="286" t="s">
        <v>2975</v>
      </c>
      <c r="D319" s="865" t="s">
        <v>2975</v>
      </c>
      <c r="E319" s="287" t="s">
        <v>3564</v>
      </c>
      <c r="F319" s="287" t="s">
        <v>5177</v>
      </c>
      <c r="G319" s="288" t="s">
        <v>5175</v>
      </c>
      <c r="H319" s="287">
        <v>43749</v>
      </c>
      <c r="I319" s="287" t="s">
        <v>2975</v>
      </c>
      <c r="J319" s="759"/>
    </row>
    <row r="320" spans="1:10" x14ac:dyDescent="0.2">
      <c r="A320" s="944">
        <v>39027964700</v>
      </c>
      <c r="B320" s="239" t="s">
        <v>338</v>
      </c>
      <c r="C320" s="286" t="s">
        <v>2975</v>
      </c>
      <c r="D320" s="865" t="s">
        <v>2975</v>
      </c>
      <c r="E320" s="287" t="s">
        <v>3557</v>
      </c>
      <c r="F320" s="287" t="s">
        <v>3558</v>
      </c>
      <c r="G320" s="288" t="s">
        <v>3568</v>
      </c>
      <c r="H320" s="287">
        <v>43750</v>
      </c>
      <c r="I320" s="287" t="s">
        <v>2975</v>
      </c>
      <c r="J320" s="759"/>
    </row>
    <row r="321" spans="1:10" x14ac:dyDescent="0.2">
      <c r="A321" s="944">
        <v>39027964800</v>
      </c>
      <c r="B321" s="239" t="s">
        <v>339</v>
      </c>
      <c r="C321" s="286" t="s">
        <v>2975</v>
      </c>
      <c r="D321" s="865" t="s">
        <v>2975</v>
      </c>
      <c r="E321" s="287" t="s">
        <v>3564</v>
      </c>
      <c r="F321" s="287" t="s">
        <v>3565</v>
      </c>
      <c r="G321" s="288" t="s">
        <v>3568</v>
      </c>
      <c r="H321" s="287">
        <v>43754</v>
      </c>
      <c r="I321" s="287" t="s">
        <v>2975</v>
      </c>
      <c r="J321" s="759"/>
    </row>
    <row r="322" spans="1:10" x14ac:dyDescent="0.2">
      <c r="A322" s="944">
        <v>39027964900</v>
      </c>
      <c r="B322" s="239" t="s">
        <v>340</v>
      </c>
      <c r="C322" s="286" t="s">
        <v>2975</v>
      </c>
      <c r="D322" s="865" t="s">
        <v>2975</v>
      </c>
      <c r="E322" s="287" t="s">
        <v>3564</v>
      </c>
      <c r="F322" s="287" t="s">
        <v>3565</v>
      </c>
      <c r="G322" s="288" t="s">
        <v>3568</v>
      </c>
      <c r="H322" s="287">
        <v>43755</v>
      </c>
      <c r="I322" s="287" t="s">
        <v>2975</v>
      </c>
      <c r="J322" s="759"/>
    </row>
    <row r="323" spans="1:10" x14ac:dyDescent="0.2">
      <c r="A323" s="944">
        <v>39027965000</v>
      </c>
      <c r="B323" s="239" t="s">
        <v>341</v>
      </c>
      <c r="C323" s="286" t="s">
        <v>2975</v>
      </c>
      <c r="D323" s="865" t="s">
        <v>2975</v>
      </c>
      <c r="E323" s="287" t="s">
        <v>3564</v>
      </c>
      <c r="F323" s="287" t="s">
        <v>3565</v>
      </c>
      <c r="G323" s="288" t="s">
        <v>3568</v>
      </c>
      <c r="H323" s="287">
        <v>43756</v>
      </c>
      <c r="I323" s="287" t="s">
        <v>2975</v>
      </c>
      <c r="J323" s="759"/>
    </row>
    <row r="324" spans="1:10" x14ac:dyDescent="0.2">
      <c r="A324" s="944">
        <v>39027965100</v>
      </c>
      <c r="B324" s="239" t="s">
        <v>342</v>
      </c>
      <c r="C324" s="286" t="s">
        <v>2975</v>
      </c>
      <c r="D324" s="865" t="s">
        <v>2975</v>
      </c>
      <c r="E324" s="287" t="s">
        <v>3564</v>
      </c>
      <c r="F324" s="287" t="s">
        <v>5177</v>
      </c>
      <c r="G324" s="288" t="s">
        <v>3568</v>
      </c>
      <c r="H324" s="287">
        <v>43758</v>
      </c>
      <c r="I324" s="287" t="s">
        <v>2975</v>
      </c>
      <c r="J324" s="759"/>
    </row>
    <row r="325" spans="1:10" x14ac:dyDescent="0.2">
      <c r="A325" s="944">
        <v>39029950100</v>
      </c>
      <c r="B325" s="239" t="s">
        <v>343</v>
      </c>
      <c r="C325" s="286" t="s">
        <v>2975</v>
      </c>
      <c r="D325" s="865" t="s">
        <v>2975</v>
      </c>
      <c r="E325" s="287" t="s">
        <v>3566</v>
      </c>
      <c r="F325" s="287" t="s">
        <v>5177</v>
      </c>
      <c r="G325" s="288" t="s">
        <v>3568</v>
      </c>
      <c r="H325" s="287">
        <v>43759</v>
      </c>
      <c r="I325" s="287" t="s">
        <v>2975</v>
      </c>
      <c r="J325" s="759"/>
    </row>
    <row r="326" spans="1:10" x14ac:dyDescent="0.2">
      <c r="A326" s="944">
        <v>39029950200</v>
      </c>
      <c r="B326" s="239" t="s">
        <v>344</v>
      </c>
      <c r="C326" s="286" t="s">
        <v>2975</v>
      </c>
      <c r="D326" s="865" t="s">
        <v>2975</v>
      </c>
      <c r="E326" s="287" t="s">
        <v>3563</v>
      </c>
      <c r="F326" s="287" t="s">
        <v>5176</v>
      </c>
      <c r="G326" s="288" t="s">
        <v>3568</v>
      </c>
      <c r="H326" s="287">
        <v>43760</v>
      </c>
      <c r="I326" s="287" t="s">
        <v>2975</v>
      </c>
      <c r="J326" s="759"/>
    </row>
    <row r="327" spans="1:10" x14ac:dyDescent="0.2">
      <c r="A327" s="944">
        <v>39029950300</v>
      </c>
      <c r="B327" s="239" t="s">
        <v>345</v>
      </c>
      <c r="C327" s="286" t="s">
        <v>2975</v>
      </c>
      <c r="D327" s="865" t="s">
        <v>2975</v>
      </c>
      <c r="E327" s="287" t="s">
        <v>3563</v>
      </c>
      <c r="F327" s="287" t="s">
        <v>3558</v>
      </c>
      <c r="G327" s="288" t="s">
        <v>3568</v>
      </c>
      <c r="H327" s="287">
        <v>43761</v>
      </c>
      <c r="I327" s="287" t="s">
        <v>2975</v>
      </c>
      <c r="J327" s="759"/>
    </row>
    <row r="328" spans="1:10" x14ac:dyDescent="0.2">
      <c r="A328" s="944">
        <v>39029950400</v>
      </c>
      <c r="B328" s="239" t="s">
        <v>346</v>
      </c>
      <c r="C328" s="286" t="s">
        <v>2975</v>
      </c>
      <c r="D328" s="865" t="s">
        <v>2975</v>
      </c>
      <c r="E328" s="287" t="s">
        <v>3563</v>
      </c>
      <c r="F328" s="287" t="s">
        <v>3558</v>
      </c>
      <c r="G328" s="288" t="s">
        <v>3568</v>
      </c>
      <c r="H328" s="287">
        <v>43762</v>
      </c>
      <c r="I328" s="287" t="s">
        <v>2975</v>
      </c>
      <c r="J328" s="759"/>
    </row>
    <row r="329" spans="1:10" x14ac:dyDescent="0.2">
      <c r="A329" s="944">
        <v>39029950500</v>
      </c>
      <c r="B329" s="239" t="s">
        <v>347</v>
      </c>
      <c r="C329" s="286" t="s">
        <v>2975</v>
      </c>
      <c r="D329" s="865" t="s">
        <v>2975</v>
      </c>
      <c r="E329" s="287" t="s">
        <v>3566</v>
      </c>
      <c r="F329" s="287" t="s">
        <v>3565</v>
      </c>
      <c r="G329" s="288" t="s">
        <v>3568</v>
      </c>
      <c r="H329" s="287">
        <v>43764</v>
      </c>
      <c r="I329" s="287" t="s">
        <v>2975</v>
      </c>
      <c r="J329" s="759"/>
    </row>
    <row r="330" spans="1:10" x14ac:dyDescent="0.2">
      <c r="A330" s="944">
        <v>39029950600</v>
      </c>
      <c r="B330" s="239" t="s">
        <v>348</v>
      </c>
      <c r="C330" s="286" t="s">
        <v>2975</v>
      </c>
      <c r="D330" s="865" t="s">
        <v>2975</v>
      </c>
      <c r="E330" s="287" t="s">
        <v>3564</v>
      </c>
      <c r="F330" s="287" t="s">
        <v>5176</v>
      </c>
      <c r="G330" s="288" t="s">
        <v>3568</v>
      </c>
      <c r="H330" s="287">
        <v>43766</v>
      </c>
      <c r="I330" s="287" t="s">
        <v>2975</v>
      </c>
      <c r="J330" s="759"/>
    </row>
    <row r="331" spans="1:10" x14ac:dyDescent="0.2">
      <c r="A331" s="944">
        <v>39029950700</v>
      </c>
      <c r="B331" s="239" t="s">
        <v>349</v>
      </c>
      <c r="C331" s="286" t="s">
        <v>2975</v>
      </c>
      <c r="D331" s="865" t="s">
        <v>2975</v>
      </c>
      <c r="E331" s="287" t="s">
        <v>3566</v>
      </c>
      <c r="F331" s="287" t="s">
        <v>3559</v>
      </c>
      <c r="G331" s="288" t="s">
        <v>3568</v>
      </c>
      <c r="H331" s="287">
        <v>43767</v>
      </c>
      <c r="I331" s="287" t="s">
        <v>2975</v>
      </c>
      <c r="J331" s="759"/>
    </row>
    <row r="332" spans="1:10" x14ac:dyDescent="0.2">
      <c r="A332" s="944">
        <v>39029950800</v>
      </c>
      <c r="B332" s="239" t="s">
        <v>350</v>
      </c>
      <c r="C332" s="286" t="s">
        <v>2975</v>
      </c>
      <c r="D332" s="865" t="s">
        <v>2975</v>
      </c>
      <c r="E332" s="287" t="s">
        <v>3563</v>
      </c>
      <c r="F332" s="287" t="s">
        <v>3558</v>
      </c>
      <c r="G332" s="288" t="s">
        <v>3568</v>
      </c>
      <c r="H332" s="287">
        <v>43768</v>
      </c>
      <c r="I332" s="287" t="s">
        <v>2975</v>
      </c>
      <c r="J332" s="759"/>
    </row>
    <row r="333" spans="1:10" x14ac:dyDescent="0.2">
      <c r="A333" s="944">
        <v>39029950900</v>
      </c>
      <c r="B333" s="239" t="s">
        <v>351</v>
      </c>
      <c r="C333" s="286" t="s">
        <v>2975</v>
      </c>
      <c r="D333" s="865" t="s">
        <v>2975</v>
      </c>
      <c r="E333" s="287" t="s">
        <v>3566</v>
      </c>
      <c r="F333" s="287" t="s">
        <v>3565</v>
      </c>
      <c r="G333" s="288" t="s">
        <v>3568</v>
      </c>
      <c r="H333" s="287">
        <v>43771</v>
      </c>
      <c r="I333" s="287" t="s">
        <v>2975</v>
      </c>
      <c r="J333" s="759"/>
    </row>
    <row r="334" spans="1:10" x14ac:dyDescent="0.2">
      <c r="A334" s="944">
        <v>39029951000</v>
      </c>
      <c r="B334" s="239" t="s">
        <v>352</v>
      </c>
      <c r="C334" s="286" t="s">
        <v>2975</v>
      </c>
      <c r="D334" s="865" t="s">
        <v>2975</v>
      </c>
      <c r="E334" s="287" t="s">
        <v>3566</v>
      </c>
      <c r="F334" s="287" t="s">
        <v>3559</v>
      </c>
      <c r="G334" s="288" t="s">
        <v>3568</v>
      </c>
      <c r="H334" s="287">
        <v>43772</v>
      </c>
      <c r="I334" s="287" t="s">
        <v>2975</v>
      </c>
      <c r="J334" s="759"/>
    </row>
    <row r="335" spans="1:10" x14ac:dyDescent="0.2">
      <c r="A335" s="944">
        <v>39029951100</v>
      </c>
      <c r="B335" s="239" t="s">
        <v>353</v>
      </c>
      <c r="C335" s="286" t="s">
        <v>2975</v>
      </c>
      <c r="D335" s="865" t="s">
        <v>2975</v>
      </c>
      <c r="E335" s="287" t="s">
        <v>3557</v>
      </c>
      <c r="F335" s="287" t="s">
        <v>3565</v>
      </c>
      <c r="G335" s="288" t="s">
        <v>3568</v>
      </c>
      <c r="H335" s="287">
        <v>43773</v>
      </c>
      <c r="I335" s="287" t="s">
        <v>2975</v>
      </c>
      <c r="J335" s="759"/>
    </row>
    <row r="336" spans="1:10" x14ac:dyDescent="0.2">
      <c r="A336" s="944">
        <v>39029951200</v>
      </c>
      <c r="B336" s="239" t="s">
        <v>354</v>
      </c>
      <c r="C336" s="286" t="s">
        <v>2975</v>
      </c>
      <c r="D336" s="865" t="s">
        <v>2975</v>
      </c>
      <c r="E336" s="287" t="s">
        <v>3557</v>
      </c>
      <c r="F336" s="287" t="s">
        <v>3559</v>
      </c>
      <c r="G336" s="288" t="s">
        <v>3568</v>
      </c>
      <c r="H336" s="287">
        <v>43777</v>
      </c>
      <c r="I336" s="287" t="s">
        <v>2975</v>
      </c>
      <c r="J336" s="759"/>
    </row>
    <row r="337" spans="1:10" x14ac:dyDescent="0.2">
      <c r="A337" s="944">
        <v>39029951300</v>
      </c>
      <c r="B337" s="239" t="s">
        <v>355</v>
      </c>
      <c r="C337" s="286" t="s">
        <v>2975</v>
      </c>
      <c r="D337" s="865" t="s">
        <v>2975</v>
      </c>
      <c r="E337" s="287" t="s">
        <v>3557</v>
      </c>
      <c r="F337" s="287" t="s">
        <v>3558</v>
      </c>
      <c r="G337" s="288" t="s">
        <v>3568</v>
      </c>
      <c r="H337" s="287">
        <v>43778</v>
      </c>
      <c r="I337" s="287" t="s">
        <v>2975</v>
      </c>
      <c r="J337" s="759"/>
    </row>
    <row r="338" spans="1:10" x14ac:dyDescent="0.2">
      <c r="A338" s="944">
        <v>39029951400</v>
      </c>
      <c r="B338" s="239" t="s">
        <v>356</v>
      </c>
      <c r="C338" s="286" t="s">
        <v>2975</v>
      </c>
      <c r="D338" s="865" t="s">
        <v>2975</v>
      </c>
      <c r="E338" s="287" t="s">
        <v>3563</v>
      </c>
      <c r="F338" s="287" t="s">
        <v>3558</v>
      </c>
      <c r="G338" s="288" t="s">
        <v>3568</v>
      </c>
      <c r="H338" s="287">
        <v>43779</v>
      </c>
      <c r="I338" s="287" t="s">
        <v>2975</v>
      </c>
      <c r="J338" s="759"/>
    </row>
    <row r="339" spans="1:10" x14ac:dyDescent="0.2">
      <c r="A339" s="944">
        <v>39029951500</v>
      </c>
      <c r="B339" s="239" t="s">
        <v>357</v>
      </c>
      <c r="C339" s="286" t="s">
        <v>2975</v>
      </c>
      <c r="D339" s="865" t="s">
        <v>2975</v>
      </c>
      <c r="E339" s="287" t="s">
        <v>3564</v>
      </c>
      <c r="F339" s="287" t="s">
        <v>3558</v>
      </c>
      <c r="G339" s="288" t="s">
        <v>3568</v>
      </c>
      <c r="H339" s="287">
        <v>43780</v>
      </c>
      <c r="I339" s="287" t="s">
        <v>2975</v>
      </c>
      <c r="J339" s="759"/>
    </row>
    <row r="340" spans="1:10" x14ac:dyDescent="0.2">
      <c r="A340" s="944">
        <v>39029951600</v>
      </c>
      <c r="B340" s="239" t="s">
        <v>358</v>
      </c>
      <c r="C340" s="286" t="s">
        <v>2975</v>
      </c>
      <c r="D340" s="865" t="s">
        <v>2975</v>
      </c>
      <c r="E340" s="287" t="s">
        <v>3566</v>
      </c>
      <c r="F340" s="287" t="s">
        <v>3565</v>
      </c>
      <c r="G340" s="288" t="s">
        <v>3568</v>
      </c>
      <c r="H340" s="287">
        <v>43782</v>
      </c>
      <c r="I340" s="287" t="s">
        <v>2975</v>
      </c>
      <c r="J340" s="759"/>
    </row>
    <row r="341" spans="1:10" x14ac:dyDescent="0.2">
      <c r="A341" s="944">
        <v>39029951700</v>
      </c>
      <c r="B341" s="239" t="s">
        <v>359</v>
      </c>
      <c r="C341" s="286" t="s">
        <v>2975</v>
      </c>
      <c r="D341" s="865" t="s">
        <v>2975</v>
      </c>
      <c r="E341" s="287" t="s">
        <v>3564</v>
      </c>
      <c r="F341" s="287" t="s">
        <v>3565</v>
      </c>
      <c r="G341" s="288" t="s">
        <v>3568</v>
      </c>
      <c r="H341" s="287">
        <v>43783</v>
      </c>
      <c r="I341" s="287" t="s">
        <v>2975</v>
      </c>
      <c r="J341" s="759"/>
    </row>
    <row r="342" spans="1:10" x14ac:dyDescent="0.2">
      <c r="A342" s="944">
        <v>39029951800</v>
      </c>
      <c r="B342" s="239" t="s">
        <v>360</v>
      </c>
      <c r="C342" s="286" t="s">
        <v>4330</v>
      </c>
      <c r="D342" s="865" t="s">
        <v>4330</v>
      </c>
      <c r="E342" s="287" t="s">
        <v>3557</v>
      </c>
      <c r="F342" s="287" t="s">
        <v>3565</v>
      </c>
      <c r="G342" s="288" t="s">
        <v>3568</v>
      </c>
      <c r="H342" s="287">
        <v>43786</v>
      </c>
      <c r="I342" s="287" t="s">
        <v>2975</v>
      </c>
      <c r="J342" s="759"/>
    </row>
    <row r="343" spans="1:10" x14ac:dyDescent="0.2">
      <c r="A343" s="944">
        <v>39029951900</v>
      </c>
      <c r="B343" s="239" t="s">
        <v>361</v>
      </c>
      <c r="C343" s="286" t="s">
        <v>2975</v>
      </c>
      <c r="D343" s="865" t="s">
        <v>2975</v>
      </c>
      <c r="E343" s="287" t="s">
        <v>3557</v>
      </c>
      <c r="F343" s="287" t="s">
        <v>3558</v>
      </c>
      <c r="G343" s="288" t="s">
        <v>3568</v>
      </c>
      <c r="H343" s="287">
        <v>43787</v>
      </c>
      <c r="I343" s="287" t="s">
        <v>2975</v>
      </c>
      <c r="J343" s="759"/>
    </row>
    <row r="344" spans="1:10" x14ac:dyDescent="0.2">
      <c r="A344" s="944">
        <v>39029952000</v>
      </c>
      <c r="B344" s="239" t="s">
        <v>362</v>
      </c>
      <c r="C344" s="286" t="s">
        <v>2975</v>
      </c>
      <c r="D344" s="865" t="s">
        <v>2975</v>
      </c>
      <c r="E344" s="287" t="s">
        <v>3557</v>
      </c>
      <c r="F344" s="287" t="s">
        <v>5177</v>
      </c>
      <c r="G344" s="288" t="s">
        <v>3568</v>
      </c>
      <c r="H344" s="287">
        <v>43788</v>
      </c>
      <c r="I344" s="287" t="s">
        <v>2975</v>
      </c>
      <c r="J344" s="759"/>
    </row>
    <row r="345" spans="1:10" x14ac:dyDescent="0.2">
      <c r="A345" s="944">
        <v>39029952100</v>
      </c>
      <c r="B345" s="239" t="s">
        <v>363</v>
      </c>
      <c r="C345" s="286" t="s">
        <v>4330</v>
      </c>
      <c r="D345" s="865" t="s">
        <v>4330</v>
      </c>
      <c r="E345" s="287" t="s">
        <v>3557</v>
      </c>
      <c r="F345" s="287" t="s">
        <v>5176</v>
      </c>
      <c r="G345" s="288" t="s">
        <v>5175</v>
      </c>
      <c r="H345" s="287">
        <v>43793</v>
      </c>
      <c r="I345" s="287" t="s">
        <v>2975</v>
      </c>
      <c r="J345" s="759"/>
    </row>
    <row r="346" spans="1:10" x14ac:dyDescent="0.2">
      <c r="A346" s="944">
        <v>39029952200</v>
      </c>
      <c r="B346" s="239" t="s">
        <v>364</v>
      </c>
      <c r="C346" s="286" t="s">
        <v>4330</v>
      </c>
      <c r="D346" s="865" t="s">
        <v>4330</v>
      </c>
      <c r="E346" s="287" t="s">
        <v>3557</v>
      </c>
      <c r="F346" s="287" t="s">
        <v>3565</v>
      </c>
      <c r="G346" s="288" t="s">
        <v>5175</v>
      </c>
      <c r="H346" s="287">
        <v>43802</v>
      </c>
      <c r="I346" s="287" t="s">
        <v>2975</v>
      </c>
      <c r="J346" s="759"/>
    </row>
    <row r="347" spans="1:10" x14ac:dyDescent="0.2">
      <c r="A347" s="944">
        <v>39029952300</v>
      </c>
      <c r="B347" s="239" t="s">
        <v>365</v>
      </c>
      <c r="C347" s="286" t="s">
        <v>4330</v>
      </c>
      <c r="D347" s="865" t="s">
        <v>4330</v>
      </c>
      <c r="E347" s="287" t="s">
        <v>3557</v>
      </c>
      <c r="F347" s="287" t="s">
        <v>5176</v>
      </c>
      <c r="G347" s="288" t="s">
        <v>5175</v>
      </c>
      <c r="H347" s="287">
        <v>43804</v>
      </c>
      <c r="I347" s="287" t="s">
        <v>2975</v>
      </c>
      <c r="J347" s="759"/>
    </row>
    <row r="348" spans="1:10" x14ac:dyDescent="0.2">
      <c r="A348" s="944">
        <v>39029952400</v>
      </c>
      <c r="B348" s="239" t="s">
        <v>366</v>
      </c>
      <c r="C348" s="286" t="s">
        <v>2975</v>
      </c>
      <c r="D348" s="865" t="s">
        <v>2975</v>
      </c>
      <c r="E348" s="287" t="s">
        <v>3566</v>
      </c>
      <c r="F348" s="287" t="s">
        <v>3565</v>
      </c>
      <c r="G348" s="288" t="s">
        <v>3568</v>
      </c>
      <c r="H348" s="287">
        <v>43805</v>
      </c>
      <c r="I348" s="287" t="s">
        <v>2975</v>
      </c>
      <c r="J348" s="759"/>
    </row>
    <row r="349" spans="1:10" x14ac:dyDescent="0.2">
      <c r="A349" s="944">
        <v>39031960900</v>
      </c>
      <c r="B349" s="239" t="s">
        <v>367</v>
      </c>
      <c r="C349" s="286" t="s">
        <v>2975</v>
      </c>
      <c r="D349" s="865" t="s">
        <v>2975</v>
      </c>
      <c r="E349" s="287" t="s">
        <v>3564</v>
      </c>
      <c r="F349" s="287" t="s">
        <v>5177</v>
      </c>
      <c r="G349" s="288" t="s">
        <v>3568</v>
      </c>
      <c r="H349" s="287">
        <v>43811</v>
      </c>
      <c r="I349" s="287" t="s">
        <v>2975</v>
      </c>
      <c r="J349" s="759"/>
    </row>
    <row r="350" spans="1:10" x14ac:dyDescent="0.2">
      <c r="A350" s="944">
        <v>39031961000</v>
      </c>
      <c r="B350" s="239" t="s">
        <v>368</v>
      </c>
      <c r="C350" s="286" t="s">
        <v>2975</v>
      </c>
      <c r="D350" s="865" t="s">
        <v>2975</v>
      </c>
      <c r="E350" s="287" t="s">
        <v>3564</v>
      </c>
      <c r="F350" s="287" t="s">
        <v>3559</v>
      </c>
      <c r="G350" s="288" t="s">
        <v>3568</v>
      </c>
      <c r="H350" s="287">
        <v>43812</v>
      </c>
      <c r="I350" s="287" t="s">
        <v>2975</v>
      </c>
      <c r="J350" s="759"/>
    </row>
    <row r="351" spans="1:10" x14ac:dyDescent="0.2">
      <c r="A351" s="944">
        <v>39031961100</v>
      </c>
      <c r="B351" s="239" t="s">
        <v>369</v>
      </c>
      <c r="C351" s="286" t="s">
        <v>2975</v>
      </c>
      <c r="D351" s="865" t="s">
        <v>2975</v>
      </c>
      <c r="E351" s="287" t="s">
        <v>3557</v>
      </c>
      <c r="F351" s="287" t="s">
        <v>3565</v>
      </c>
      <c r="G351" s="288" t="s">
        <v>3568</v>
      </c>
      <c r="H351" s="287">
        <v>43821</v>
      </c>
      <c r="I351" s="287" t="s">
        <v>2975</v>
      </c>
      <c r="J351" s="759"/>
    </row>
    <row r="352" spans="1:10" x14ac:dyDescent="0.2">
      <c r="A352" s="944">
        <v>39031961200</v>
      </c>
      <c r="B352" s="239" t="s">
        <v>370</v>
      </c>
      <c r="C352" s="286" t="s">
        <v>2975</v>
      </c>
      <c r="D352" s="865" t="s">
        <v>2975</v>
      </c>
      <c r="E352" s="287" t="s">
        <v>3564</v>
      </c>
      <c r="F352" s="287" t="s">
        <v>3559</v>
      </c>
      <c r="G352" s="288" t="s">
        <v>3568</v>
      </c>
      <c r="H352" s="287">
        <v>43822</v>
      </c>
      <c r="I352" s="287" t="s">
        <v>2975</v>
      </c>
      <c r="J352" s="759"/>
    </row>
    <row r="353" spans="1:10" x14ac:dyDescent="0.2">
      <c r="A353" s="944">
        <v>39031961300</v>
      </c>
      <c r="B353" s="239" t="s">
        <v>371</v>
      </c>
      <c r="C353" s="286" t="s">
        <v>4330</v>
      </c>
      <c r="D353" s="865" t="s">
        <v>4330</v>
      </c>
      <c r="E353" s="287" t="s">
        <v>3557</v>
      </c>
      <c r="F353" s="287" t="s">
        <v>5176</v>
      </c>
      <c r="G353" s="288" t="s">
        <v>3568</v>
      </c>
      <c r="H353" s="287">
        <v>43824</v>
      </c>
      <c r="I353" s="287" t="s">
        <v>2975</v>
      </c>
      <c r="J353" s="759"/>
    </row>
    <row r="354" spans="1:10" x14ac:dyDescent="0.2">
      <c r="A354" s="944">
        <v>39031961400</v>
      </c>
      <c r="B354" s="239" t="s">
        <v>372</v>
      </c>
      <c r="C354" s="286" t="s">
        <v>4330</v>
      </c>
      <c r="D354" s="865" t="s">
        <v>4330</v>
      </c>
      <c r="E354" s="287" t="s">
        <v>3557</v>
      </c>
      <c r="F354" s="287" t="s">
        <v>3565</v>
      </c>
      <c r="G354" s="288" t="s">
        <v>3568</v>
      </c>
      <c r="H354" s="287">
        <v>43830</v>
      </c>
      <c r="I354" s="287" t="s">
        <v>2975</v>
      </c>
      <c r="J354" s="759"/>
    </row>
    <row r="355" spans="1:10" x14ac:dyDescent="0.2">
      <c r="A355" s="944">
        <v>39031961500</v>
      </c>
      <c r="B355" s="239" t="s">
        <v>373</v>
      </c>
      <c r="C355" s="286" t="s">
        <v>2975</v>
      </c>
      <c r="D355" s="865" t="s">
        <v>2975</v>
      </c>
      <c r="E355" s="287" t="s">
        <v>3557</v>
      </c>
      <c r="F355" s="287" t="s">
        <v>5177</v>
      </c>
      <c r="G355" s="288" t="s">
        <v>5175</v>
      </c>
      <c r="H355" s="287">
        <v>43832</v>
      </c>
      <c r="I355" s="287" t="s">
        <v>2975</v>
      </c>
      <c r="J355" s="759"/>
    </row>
    <row r="356" spans="1:10" x14ac:dyDescent="0.2">
      <c r="A356" s="944">
        <v>39031961600</v>
      </c>
      <c r="B356" s="239" t="s">
        <v>374</v>
      </c>
      <c r="C356" s="286" t="s">
        <v>2975</v>
      </c>
      <c r="D356" s="865" t="s">
        <v>2975</v>
      </c>
      <c r="E356" s="287" t="s">
        <v>3563</v>
      </c>
      <c r="F356" s="287" t="s">
        <v>3559</v>
      </c>
      <c r="G356" s="288" t="s">
        <v>3568</v>
      </c>
      <c r="H356" s="287">
        <v>43836</v>
      </c>
      <c r="I356" s="287" t="s">
        <v>2975</v>
      </c>
      <c r="J356" s="759"/>
    </row>
    <row r="357" spans="1:10" x14ac:dyDescent="0.2">
      <c r="A357" s="944">
        <v>39031961700</v>
      </c>
      <c r="B357" s="239" t="s">
        <v>375</v>
      </c>
      <c r="C357" s="286" t="s">
        <v>2975</v>
      </c>
      <c r="D357" s="865" t="s">
        <v>2975</v>
      </c>
      <c r="E357" s="287" t="s">
        <v>3563</v>
      </c>
      <c r="F357" s="287" t="s">
        <v>5176</v>
      </c>
      <c r="G357" s="288" t="s">
        <v>3568</v>
      </c>
      <c r="H357" s="287">
        <v>43837</v>
      </c>
      <c r="I357" s="287" t="s">
        <v>2975</v>
      </c>
      <c r="J357" s="759"/>
    </row>
    <row r="358" spans="1:10" x14ac:dyDescent="0.2">
      <c r="A358" s="944">
        <v>39031961800</v>
      </c>
      <c r="B358" s="239" t="s">
        <v>376</v>
      </c>
      <c r="C358" s="286" t="s">
        <v>2975</v>
      </c>
      <c r="D358" s="865" t="s">
        <v>2975</v>
      </c>
      <c r="E358" s="287" t="s">
        <v>3564</v>
      </c>
      <c r="F358" s="287" t="s">
        <v>5176</v>
      </c>
      <c r="G358" s="288" t="s">
        <v>3568</v>
      </c>
      <c r="H358" s="287">
        <v>43840</v>
      </c>
      <c r="I358" s="287" t="s">
        <v>2975</v>
      </c>
      <c r="J358" s="759"/>
    </row>
    <row r="359" spans="1:10" x14ac:dyDescent="0.2">
      <c r="A359" s="944">
        <v>39033974100</v>
      </c>
      <c r="B359" s="239" t="s">
        <v>377</v>
      </c>
      <c r="C359" s="286" t="s">
        <v>2975</v>
      </c>
      <c r="D359" s="865" t="s">
        <v>2975</v>
      </c>
      <c r="E359" s="287" t="s">
        <v>3566</v>
      </c>
      <c r="F359" s="287" t="s">
        <v>5176</v>
      </c>
      <c r="G359" s="288" t="s">
        <v>3568</v>
      </c>
      <c r="H359" s="287">
        <v>43842</v>
      </c>
      <c r="I359" s="287" t="s">
        <v>2975</v>
      </c>
      <c r="J359" s="759"/>
    </row>
    <row r="360" spans="1:10" x14ac:dyDescent="0.2">
      <c r="A360" s="944">
        <v>39033974200</v>
      </c>
      <c r="B360" s="239" t="s">
        <v>378</v>
      </c>
      <c r="C360" s="286" t="s">
        <v>2975</v>
      </c>
      <c r="D360" s="865" t="s">
        <v>2975</v>
      </c>
      <c r="E360" s="287" t="s">
        <v>3566</v>
      </c>
      <c r="F360" s="287" t="s">
        <v>3565</v>
      </c>
      <c r="G360" s="288" t="s">
        <v>3568</v>
      </c>
      <c r="H360" s="287">
        <v>43843</v>
      </c>
      <c r="I360" s="287" t="s">
        <v>2975</v>
      </c>
      <c r="J360" s="759"/>
    </row>
    <row r="361" spans="1:10" x14ac:dyDescent="0.2">
      <c r="A361" s="944">
        <v>39033974300</v>
      </c>
      <c r="B361" s="239" t="s">
        <v>379</v>
      </c>
      <c r="C361" s="286" t="s">
        <v>2975</v>
      </c>
      <c r="D361" s="865" t="s">
        <v>2975</v>
      </c>
      <c r="E361" s="287" t="s">
        <v>3566</v>
      </c>
      <c r="F361" s="287" t="s">
        <v>3558</v>
      </c>
      <c r="G361" s="288" t="s">
        <v>3568</v>
      </c>
      <c r="H361" s="287">
        <v>43844</v>
      </c>
      <c r="I361" s="287" t="s">
        <v>2975</v>
      </c>
      <c r="J361" s="759"/>
    </row>
    <row r="362" spans="1:10" x14ac:dyDescent="0.2">
      <c r="A362" s="944">
        <v>39033974400</v>
      </c>
      <c r="B362" s="239" t="s">
        <v>380</v>
      </c>
      <c r="C362" s="286" t="s">
        <v>2975</v>
      </c>
      <c r="D362" s="865" t="s">
        <v>2975</v>
      </c>
      <c r="E362" s="287" t="s">
        <v>3564</v>
      </c>
      <c r="F362" s="287" t="s">
        <v>3565</v>
      </c>
      <c r="G362" s="288" t="s">
        <v>3568</v>
      </c>
      <c r="H362" s="287">
        <v>43845</v>
      </c>
      <c r="I362" s="287" t="s">
        <v>2975</v>
      </c>
      <c r="J362" s="759"/>
    </row>
    <row r="363" spans="1:10" x14ac:dyDescent="0.2">
      <c r="A363" s="944">
        <v>39033974500</v>
      </c>
      <c r="B363" s="239" t="s">
        <v>381</v>
      </c>
      <c r="C363" s="286" t="s">
        <v>2975</v>
      </c>
      <c r="D363" s="865" t="s">
        <v>2975</v>
      </c>
      <c r="E363" s="287" t="s">
        <v>3566</v>
      </c>
      <c r="F363" s="287" t="s">
        <v>3558</v>
      </c>
      <c r="G363" s="288" t="s">
        <v>5175</v>
      </c>
      <c r="H363" s="287">
        <v>43901</v>
      </c>
      <c r="I363" s="287" t="s">
        <v>2975</v>
      </c>
      <c r="J363" s="759"/>
    </row>
    <row r="364" spans="1:10" x14ac:dyDescent="0.2">
      <c r="A364" s="944">
        <v>39033974600</v>
      </c>
      <c r="B364" s="239" t="s">
        <v>382</v>
      </c>
      <c r="C364" s="286" t="s">
        <v>2975</v>
      </c>
      <c r="D364" s="865" t="s">
        <v>2975</v>
      </c>
      <c r="E364" s="287" t="s">
        <v>3564</v>
      </c>
      <c r="F364" s="287" t="s">
        <v>3565</v>
      </c>
      <c r="G364" s="288" t="s">
        <v>3568</v>
      </c>
      <c r="H364" s="287">
        <v>43902</v>
      </c>
      <c r="I364" s="287" t="s">
        <v>2975</v>
      </c>
      <c r="J364" s="759"/>
    </row>
    <row r="365" spans="1:10" x14ac:dyDescent="0.2">
      <c r="A365" s="944">
        <v>39033974700</v>
      </c>
      <c r="B365" s="239" t="s">
        <v>383</v>
      </c>
      <c r="C365" s="286" t="s">
        <v>2975</v>
      </c>
      <c r="D365" s="865" t="s">
        <v>2975</v>
      </c>
      <c r="E365" s="287" t="s">
        <v>3566</v>
      </c>
      <c r="F365" s="287" t="s">
        <v>3558</v>
      </c>
      <c r="G365" s="288" t="s">
        <v>3568</v>
      </c>
      <c r="H365" s="287">
        <v>43903</v>
      </c>
      <c r="I365" s="287" t="s">
        <v>2975</v>
      </c>
      <c r="J365" s="759"/>
    </row>
    <row r="366" spans="1:10" x14ac:dyDescent="0.2">
      <c r="A366" s="944">
        <v>39033974800</v>
      </c>
      <c r="B366" s="239" t="s">
        <v>384</v>
      </c>
      <c r="C366" s="286" t="s">
        <v>4330</v>
      </c>
      <c r="D366" s="865" t="s">
        <v>4330</v>
      </c>
      <c r="E366" s="287" t="s">
        <v>3557</v>
      </c>
      <c r="F366" s="287" t="s">
        <v>5176</v>
      </c>
      <c r="G366" s="288" t="s">
        <v>3568</v>
      </c>
      <c r="H366" s="287">
        <v>43905</v>
      </c>
      <c r="I366" s="287" t="s">
        <v>2975</v>
      </c>
      <c r="J366" s="759"/>
    </row>
    <row r="367" spans="1:10" x14ac:dyDescent="0.2">
      <c r="A367" s="944">
        <v>39033974900</v>
      </c>
      <c r="B367" s="239" t="s">
        <v>385</v>
      </c>
      <c r="C367" s="286" t="s">
        <v>2975</v>
      </c>
      <c r="D367" s="865" t="s">
        <v>2975</v>
      </c>
      <c r="E367" s="287" t="s">
        <v>3564</v>
      </c>
      <c r="F367" s="287" t="s">
        <v>5176</v>
      </c>
      <c r="G367" s="288" t="s">
        <v>3568</v>
      </c>
      <c r="H367" s="287">
        <v>43906</v>
      </c>
      <c r="I367" s="287" t="s">
        <v>2975</v>
      </c>
      <c r="J367" s="759"/>
    </row>
    <row r="368" spans="1:10" x14ac:dyDescent="0.2">
      <c r="A368" s="944">
        <v>39033975000</v>
      </c>
      <c r="B368" s="239" t="s">
        <v>386</v>
      </c>
      <c r="C368" s="286" t="s">
        <v>2975</v>
      </c>
      <c r="D368" s="865" t="s">
        <v>2975</v>
      </c>
      <c r="E368" s="287" t="s">
        <v>3564</v>
      </c>
      <c r="F368" s="287" t="s">
        <v>5176</v>
      </c>
      <c r="G368" s="288" t="s">
        <v>3568</v>
      </c>
      <c r="H368" s="287">
        <v>43907</v>
      </c>
      <c r="I368" s="287" t="s">
        <v>2975</v>
      </c>
      <c r="J368" s="759"/>
    </row>
    <row r="369" spans="1:10" x14ac:dyDescent="0.2">
      <c r="A369" s="944">
        <v>39033975100</v>
      </c>
      <c r="B369" s="239" t="s">
        <v>387</v>
      </c>
      <c r="C369" s="286" t="s">
        <v>2975</v>
      </c>
      <c r="D369" s="865" t="s">
        <v>2975</v>
      </c>
      <c r="E369" s="287" t="s">
        <v>3557</v>
      </c>
      <c r="F369" s="287" t="s">
        <v>5177</v>
      </c>
      <c r="G369" s="288" t="s">
        <v>5175</v>
      </c>
      <c r="H369" s="287">
        <v>43908</v>
      </c>
      <c r="I369" s="287" t="s">
        <v>2975</v>
      </c>
      <c r="J369" s="759"/>
    </row>
    <row r="370" spans="1:10" x14ac:dyDescent="0.2">
      <c r="A370" s="944">
        <v>39033975200</v>
      </c>
      <c r="B370" s="239" t="s">
        <v>388</v>
      </c>
      <c r="C370" s="286" t="s">
        <v>2975</v>
      </c>
      <c r="D370" s="865" t="s">
        <v>2975</v>
      </c>
      <c r="E370" s="287" t="s">
        <v>3566</v>
      </c>
      <c r="F370" s="287" t="s">
        <v>3558</v>
      </c>
      <c r="G370" s="288" t="s">
        <v>3568</v>
      </c>
      <c r="H370" s="287">
        <v>43910</v>
      </c>
      <c r="I370" s="287" t="s">
        <v>2975</v>
      </c>
      <c r="J370" s="759"/>
    </row>
    <row r="371" spans="1:10" x14ac:dyDescent="0.2">
      <c r="A371" s="944">
        <v>39033975300</v>
      </c>
      <c r="B371" s="239" t="s">
        <v>389</v>
      </c>
      <c r="C371" s="286" t="s">
        <v>4330</v>
      </c>
      <c r="D371" s="865" t="s">
        <v>4330</v>
      </c>
      <c r="E371" s="287" t="s">
        <v>3557</v>
      </c>
      <c r="F371" s="287" t="s">
        <v>3565</v>
      </c>
      <c r="G371" s="288" t="s">
        <v>3568</v>
      </c>
      <c r="H371" s="287">
        <v>43912</v>
      </c>
      <c r="I371" s="287" t="s">
        <v>2975</v>
      </c>
      <c r="J371" s="759"/>
    </row>
    <row r="372" spans="1:10" x14ac:dyDescent="0.2">
      <c r="A372" s="944">
        <v>39035101101</v>
      </c>
      <c r="B372" s="239" t="s">
        <v>390</v>
      </c>
      <c r="C372" s="286" t="s">
        <v>4330</v>
      </c>
      <c r="D372" s="865" t="s">
        <v>4330</v>
      </c>
      <c r="E372" s="287" t="s">
        <v>3557</v>
      </c>
      <c r="F372" s="287" t="s">
        <v>5177</v>
      </c>
      <c r="G372" s="288" t="s">
        <v>3553</v>
      </c>
      <c r="H372" s="287">
        <v>43913</v>
      </c>
      <c r="I372" s="287" t="s">
        <v>2975</v>
      </c>
      <c r="J372" s="759"/>
    </row>
    <row r="373" spans="1:10" x14ac:dyDescent="0.2">
      <c r="A373" s="944">
        <v>39035101102</v>
      </c>
      <c r="B373" s="239" t="s">
        <v>391</v>
      </c>
      <c r="C373" s="286" t="s">
        <v>2975</v>
      </c>
      <c r="D373" s="865" t="s">
        <v>2975</v>
      </c>
      <c r="E373" s="287" t="s">
        <v>3562</v>
      </c>
      <c r="F373" s="287" t="s">
        <v>5177</v>
      </c>
      <c r="G373" s="288" t="s">
        <v>3553</v>
      </c>
      <c r="H373" s="287">
        <v>43914</v>
      </c>
      <c r="I373" s="287" t="s">
        <v>2975</v>
      </c>
      <c r="J373" s="759"/>
    </row>
    <row r="374" spans="1:10" x14ac:dyDescent="0.2">
      <c r="A374" s="944">
        <v>39035101200</v>
      </c>
      <c r="B374" s="239" t="s">
        <v>392</v>
      </c>
      <c r="C374" s="286" t="s">
        <v>4330</v>
      </c>
      <c r="D374" s="865" t="s">
        <v>4330</v>
      </c>
      <c r="E374" s="287" t="s">
        <v>3566</v>
      </c>
      <c r="F374" s="287" t="s">
        <v>5177</v>
      </c>
      <c r="G374" s="288" t="s">
        <v>3553</v>
      </c>
      <c r="H374" s="287">
        <v>43915</v>
      </c>
      <c r="I374" s="287" t="s">
        <v>2975</v>
      </c>
      <c r="J374" s="759"/>
    </row>
    <row r="375" spans="1:10" x14ac:dyDescent="0.2">
      <c r="A375" s="944">
        <v>39035101300</v>
      </c>
      <c r="B375" s="239" t="s">
        <v>393</v>
      </c>
      <c r="C375" s="286" t="s">
        <v>4330</v>
      </c>
      <c r="D375" s="865" t="s">
        <v>4330</v>
      </c>
      <c r="E375" s="287" t="s">
        <v>3566</v>
      </c>
      <c r="F375" s="287" t="s">
        <v>5177</v>
      </c>
      <c r="G375" s="288" t="s">
        <v>3553</v>
      </c>
      <c r="H375" s="287">
        <v>43917</v>
      </c>
      <c r="I375" s="287" t="s">
        <v>2975</v>
      </c>
      <c r="J375" s="759"/>
    </row>
    <row r="376" spans="1:10" x14ac:dyDescent="0.2">
      <c r="A376" s="944">
        <v>39035101400</v>
      </c>
      <c r="B376" s="239" t="s">
        <v>394</v>
      </c>
      <c r="C376" s="286" t="s">
        <v>4330</v>
      </c>
      <c r="D376" s="865" t="s">
        <v>4330</v>
      </c>
      <c r="E376" s="287" t="s">
        <v>3564</v>
      </c>
      <c r="F376" s="287" t="s">
        <v>5176</v>
      </c>
      <c r="G376" s="288" t="s">
        <v>3553</v>
      </c>
      <c r="H376" s="287">
        <v>43920</v>
      </c>
      <c r="I376" s="287" t="s">
        <v>2975</v>
      </c>
      <c r="J376" s="759"/>
    </row>
    <row r="377" spans="1:10" x14ac:dyDescent="0.2">
      <c r="A377" s="944">
        <v>39035101501</v>
      </c>
      <c r="B377" s="239" t="s">
        <v>395</v>
      </c>
      <c r="C377" s="286" t="s">
        <v>4330</v>
      </c>
      <c r="D377" s="865" t="s">
        <v>4330</v>
      </c>
      <c r="E377" s="287" t="s">
        <v>3564</v>
      </c>
      <c r="F377" s="287" t="s">
        <v>3558</v>
      </c>
      <c r="G377" s="288" t="s">
        <v>3553</v>
      </c>
      <c r="H377" s="287">
        <v>43925</v>
      </c>
      <c r="I377" s="287" t="s">
        <v>2975</v>
      </c>
      <c r="J377" s="759"/>
    </row>
    <row r="378" spans="1:10" x14ac:dyDescent="0.2">
      <c r="A378" s="944">
        <v>39035101603</v>
      </c>
      <c r="B378" s="239" t="s">
        <v>396</v>
      </c>
      <c r="C378" s="286" t="s">
        <v>4330</v>
      </c>
      <c r="D378" s="865" t="s">
        <v>4330</v>
      </c>
      <c r="E378" s="287" t="s">
        <v>3564</v>
      </c>
      <c r="F378" s="287" t="s">
        <v>5177</v>
      </c>
      <c r="G378" s="288" t="s">
        <v>3553</v>
      </c>
      <c r="H378" s="287">
        <v>43926</v>
      </c>
      <c r="I378" s="287" t="s">
        <v>2975</v>
      </c>
      <c r="J378" s="759"/>
    </row>
    <row r="379" spans="1:10" x14ac:dyDescent="0.2">
      <c r="A379" s="944">
        <v>39035101700</v>
      </c>
      <c r="B379" s="239" t="s">
        <v>397</v>
      </c>
      <c r="C379" s="286" t="s">
        <v>4330</v>
      </c>
      <c r="D379" s="865" t="s">
        <v>4330</v>
      </c>
      <c r="E379" s="287" t="s">
        <v>3564</v>
      </c>
      <c r="F379" s="287" t="s">
        <v>5176</v>
      </c>
      <c r="G379" s="288" t="s">
        <v>3553</v>
      </c>
      <c r="H379" s="287">
        <v>43927</v>
      </c>
      <c r="I379" s="287" t="s">
        <v>2975</v>
      </c>
      <c r="J379" s="759"/>
    </row>
    <row r="380" spans="1:10" x14ac:dyDescent="0.2">
      <c r="A380" s="944">
        <v>39035101800</v>
      </c>
      <c r="B380" s="239" t="s">
        <v>398</v>
      </c>
      <c r="C380" s="286" t="s">
        <v>4330</v>
      </c>
      <c r="D380" s="865" t="s">
        <v>4330</v>
      </c>
      <c r="E380" s="287" t="s">
        <v>3564</v>
      </c>
      <c r="F380" s="287" t="s">
        <v>5177</v>
      </c>
      <c r="G380" s="288" t="s">
        <v>3553</v>
      </c>
      <c r="H380" s="287">
        <v>43928</v>
      </c>
      <c r="I380" s="287" t="s">
        <v>2975</v>
      </c>
      <c r="J380" s="759"/>
    </row>
    <row r="381" spans="1:10" x14ac:dyDescent="0.2">
      <c r="A381" s="944">
        <v>39035101901</v>
      </c>
      <c r="B381" s="239" t="s">
        <v>399</v>
      </c>
      <c r="C381" s="286" t="s">
        <v>4330</v>
      </c>
      <c r="D381" s="865" t="s">
        <v>4330</v>
      </c>
      <c r="E381" s="287" t="s">
        <v>3563</v>
      </c>
      <c r="F381" s="287" t="s">
        <v>5176</v>
      </c>
      <c r="G381" s="288" t="s">
        <v>3553</v>
      </c>
      <c r="H381" s="287">
        <v>43930</v>
      </c>
      <c r="I381" s="287" t="s">
        <v>2975</v>
      </c>
      <c r="J381" s="759"/>
    </row>
    <row r="382" spans="1:10" x14ac:dyDescent="0.2">
      <c r="A382" s="944">
        <v>39035102101</v>
      </c>
      <c r="B382" s="239" t="s">
        <v>400</v>
      </c>
      <c r="C382" s="286" t="s">
        <v>2975</v>
      </c>
      <c r="D382" s="865" t="s">
        <v>4330</v>
      </c>
      <c r="E382" s="287" t="s">
        <v>3566</v>
      </c>
      <c r="F382" s="287" t="s">
        <v>3559</v>
      </c>
      <c r="G382" s="288" t="s">
        <v>3553</v>
      </c>
      <c r="H382" s="287">
        <v>43931</v>
      </c>
      <c r="I382" s="287" t="s">
        <v>2975</v>
      </c>
      <c r="J382" s="759"/>
    </row>
    <row r="383" spans="1:10" x14ac:dyDescent="0.2">
      <c r="A383" s="944">
        <v>39035102102</v>
      </c>
      <c r="B383" s="239" t="s">
        <v>401</v>
      </c>
      <c r="C383" s="286" t="s">
        <v>2975</v>
      </c>
      <c r="D383" s="865" t="s">
        <v>2975</v>
      </c>
      <c r="E383" s="287" t="s">
        <v>3563</v>
      </c>
      <c r="F383" s="287" t="s">
        <v>5176</v>
      </c>
      <c r="G383" s="288" t="s">
        <v>3553</v>
      </c>
      <c r="H383" s="287">
        <v>43932</v>
      </c>
      <c r="I383" s="287" t="s">
        <v>2975</v>
      </c>
      <c r="J383" s="759"/>
    </row>
    <row r="384" spans="1:10" x14ac:dyDescent="0.2">
      <c r="A384" s="944">
        <v>39035102200</v>
      </c>
      <c r="B384" s="239" t="s">
        <v>402</v>
      </c>
      <c r="C384" s="286" t="s">
        <v>2975</v>
      </c>
      <c r="D384" s="865" t="s">
        <v>2975</v>
      </c>
      <c r="E384" s="287" t="s">
        <v>3563</v>
      </c>
      <c r="F384" s="287" t="s">
        <v>5177</v>
      </c>
      <c r="G384" s="288" t="s">
        <v>3553</v>
      </c>
      <c r="H384" s="287">
        <v>43933</v>
      </c>
      <c r="I384" s="287" t="s">
        <v>2975</v>
      </c>
      <c r="J384" s="759"/>
    </row>
    <row r="385" spans="1:10" x14ac:dyDescent="0.2">
      <c r="A385" s="944">
        <v>39035102300</v>
      </c>
      <c r="B385" s="239" t="s">
        <v>403</v>
      </c>
      <c r="C385" s="286" t="s">
        <v>4330</v>
      </c>
      <c r="D385" s="865" t="s">
        <v>4330</v>
      </c>
      <c r="E385" s="287" t="s">
        <v>3566</v>
      </c>
      <c r="F385" s="287" t="s">
        <v>5176</v>
      </c>
      <c r="G385" s="288" t="s">
        <v>3553</v>
      </c>
      <c r="H385" s="287">
        <v>43934</v>
      </c>
      <c r="I385" s="287" t="s">
        <v>2975</v>
      </c>
      <c r="J385" s="759"/>
    </row>
    <row r="386" spans="1:10" x14ac:dyDescent="0.2">
      <c r="A386" s="944">
        <v>39035102401</v>
      </c>
      <c r="B386" s="239" t="s">
        <v>404</v>
      </c>
      <c r="C386" s="286" t="s">
        <v>4330</v>
      </c>
      <c r="D386" s="865" t="s">
        <v>4330</v>
      </c>
      <c r="E386" s="287" t="s">
        <v>3564</v>
      </c>
      <c r="F386" s="287" t="s">
        <v>3565</v>
      </c>
      <c r="G386" s="288" t="s">
        <v>3553</v>
      </c>
      <c r="H386" s="287">
        <v>43935</v>
      </c>
      <c r="I386" s="287" t="s">
        <v>2975</v>
      </c>
      <c r="J386" s="759"/>
    </row>
    <row r="387" spans="1:10" x14ac:dyDescent="0.2">
      <c r="A387" s="944">
        <v>39035102402</v>
      </c>
      <c r="B387" s="239" t="s">
        <v>405</v>
      </c>
      <c r="C387" s="286" t="s">
        <v>4330</v>
      </c>
      <c r="D387" s="865" t="s">
        <v>4330</v>
      </c>
      <c r="E387" s="287" t="s">
        <v>3564</v>
      </c>
      <c r="F387" s="287" t="s">
        <v>3560</v>
      </c>
      <c r="G387" s="288" t="s">
        <v>3553</v>
      </c>
      <c r="H387" s="287">
        <v>43938</v>
      </c>
      <c r="I387" s="287" t="s">
        <v>2975</v>
      </c>
      <c r="J387" s="759"/>
    </row>
    <row r="388" spans="1:10" x14ac:dyDescent="0.2">
      <c r="A388" s="944">
        <v>39035102700</v>
      </c>
      <c r="B388" s="239" t="s">
        <v>406</v>
      </c>
      <c r="C388" s="286" t="s">
        <v>4330</v>
      </c>
      <c r="D388" s="865" t="s">
        <v>4330</v>
      </c>
      <c r="E388" s="287" t="s">
        <v>3564</v>
      </c>
      <c r="F388" s="287" t="s">
        <v>3558</v>
      </c>
      <c r="G388" s="288" t="s">
        <v>3553</v>
      </c>
      <c r="H388" s="287">
        <v>43940</v>
      </c>
      <c r="I388" s="287" t="s">
        <v>2975</v>
      </c>
      <c r="J388" s="759"/>
    </row>
    <row r="389" spans="1:10" x14ac:dyDescent="0.2">
      <c r="A389" s="944">
        <v>39035102800</v>
      </c>
      <c r="B389" s="239" t="s">
        <v>407</v>
      </c>
      <c r="C389" s="286" t="s">
        <v>4330</v>
      </c>
      <c r="D389" s="865" t="s">
        <v>4330</v>
      </c>
      <c r="E389" s="287" t="s">
        <v>3564</v>
      </c>
      <c r="F389" s="287" t="s">
        <v>3565</v>
      </c>
      <c r="G389" s="288" t="s">
        <v>3553</v>
      </c>
      <c r="H389" s="287">
        <v>43942</v>
      </c>
      <c r="I389" s="287" t="s">
        <v>2975</v>
      </c>
      <c r="J389" s="759"/>
    </row>
    <row r="390" spans="1:10" x14ac:dyDescent="0.2">
      <c r="A390" s="944">
        <v>39035102900</v>
      </c>
      <c r="B390" s="239" t="s">
        <v>408</v>
      </c>
      <c r="C390" s="286" t="s">
        <v>4330</v>
      </c>
      <c r="D390" s="865" t="s">
        <v>4330</v>
      </c>
      <c r="E390" s="287" t="s">
        <v>3566</v>
      </c>
      <c r="F390" s="287" t="s">
        <v>3559</v>
      </c>
      <c r="G390" s="288" t="s">
        <v>3553</v>
      </c>
      <c r="H390" s="287">
        <v>43943</v>
      </c>
      <c r="I390" s="287" t="s">
        <v>2975</v>
      </c>
      <c r="J390" s="759"/>
    </row>
    <row r="391" spans="1:10" x14ac:dyDescent="0.2">
      <c r="A391" s="944">
        <v>39035103100</v>
      </c>
      <c r="B391" s="239" t="s">
        <v>409</v>
      </c>
      <c r="C391" s="286" t="s">
        <v>2975</v>
      </c>
      <c r="D391" s="865" t="s">
        <v>2975</v>
      </c>
      <c r="E391" s="287" t="s">
        <v>3562</v>
      </c>
      <c r="F391" s="287" t="s">
        <v>5177</v>
      </c>
      <c r="G391" s="288" t="s">
        <v>3553</v>
      </c>
      <c r="H391" s="287">
        <v>43944</v>
      </c>
      <c r="I391" s="287" t="s">
        <v>2975</v>
      </c>
      <c r="J391" s="759"/>
    </row>
    <row r="392" spans="1:10" x14ac:dyDescent="0.2">
      <c r="A392" s="944">
        <v>39035103300</v>
      </c>
      <c r="B392" s="239" t="s">
        <v>410</v>
      </c>
      <c r="C392" s="286" t="s">
        <v>4330</v>
      </c>
      <c r="D392" s="865" t="s">
        <v>4330</v>
      </c>
      <c r="E392" s="287" t="s">
        <v>3564</v>
      </c>
      <c r="F392" s="287" t="s">
        <v>3558</v>
      </c>
      <c r="G392" s="288" t="s">
        <v>3553</v>
      </c>
      <c r="H392" s="287">
        <v>43945</v>
      </c>
      <c r="I392" s="287" t="s">
        <v>2975</v>
      </c>
      <c r="J392" s="759"/>
    </row>
    <row r="393" spans="1:10" x14ac:dyDescent="0.2">
      <c r="A393" s="944">
        <v>39035103400</v>
      </c>
      <c r="B393" s="239" t="s">
        <v>411</v>
      </c>
      <c r="C393" s="286" t="s">
        <v>4330</v>
      </c>
      <c r="D393" s="865" t="s">
        <v>4330</v>
      </c>
      <c r="E393" s="287" t="s">
        <v>3566</v>
      </c>
      <c r="F393" s="287" t="s">
        <v>5177</v>
      </c>
      <c r="G393" s="288" t="s">
        <v>3553</v>
      </c>
      <c r="H393" s="287">
        <v>43946</v>
      </c>
      <c r="I393" s="287" t="s">
        <v>2975</v>
      </c>
      <c r="J393" s="759"/>
    </row>
    <row r="394" spans="1:10" x14ac:dyDescent="0.2">
      <c r="A394" s="944">
        <v>39035103500</v>
      </c>
      <c r="B394" s="239" t="s">
        <v>412</v>
      </c>
      <c r="C394" s="286" t="s">
        <v>2975</v>
      </c>
      <c r="D394" s="865" t="s">
        <v>2975</v>
      </c>
      <c r="E394" s="287" t="s">
        <v>3562</v>
      </c>
      <c r="F394" s="287" t="s">
        <v>3561</v>
      </c>
      <c r="G394" s="288" t="s">
        <v>3553</v>
      </c>
      <c r="H394" s="287">
        <v>43947</v>
      </c>
      <c r="I394" s="287" t="s">
        <v>2975</v>
      </c>
      <c r="J394" s="759"/>
    </row>
    <row r="395" spans="1:10" x14ac:dyDescent="0.2">
      <c r="A395" s="944">
        <v>39035103602</v>
      </c>
      <c r="B395" s="239" t="s">
        <v>413</v>
      </c>
      <c r="C395" s="286" t="s">
        <v>2975</v>
      </c>
      <c r="D395" s="865" t="s">
        <v>2975</v>
      </c>
      <c r="E395" s="287" t="s">
        <v>3562</v>
      </c>
      <c r="F395" s="287" t="s">
        <v>5177</v>
      </c>
      <c r="G395" s="288" t="s">
        <v>3553</v>
      </c>
      <c r="H395" s="287">
        <v>43948</v>
      </c>
      <c r="I395" s="287" t="s">
        <v>2975</v>
      </c>
      <c r="J395" s="759"/>
    </row>
    <row r="396" spans="1:10" x14ac:dyDescent="0.2">
      <c r="A396" s="944">
        <v>39035103800</v>
      </c>
      <c r="B396" s="239" t="s">
        <v>414</v>
      </c>
      <c r="C396" s="286" t="s">
        <v>4330</v>
      </c>
      <c r="D396" s="865" t="s">
        <v>4330</v>
      </c>
      <c r="E396" s="287" t="s">
        <v>3566</v>
      </c>
      <c r="F396" s="287" t="s">
        <v>3558</v>
      </c>
      <c r="G396" s="288" t="s">
        <v>3553</v>
      </c>
      <c r="H396" s="287">
        <v>43950</v>
      </c>
      <c r="I396" s="287" t="s">
        <v>2975</v>
      </c>
      <c r="J396" s="759"/>
    </row>
    <row r="397" spans="1:10" x14ac:dyDescent="0.2">
      <c r="A397" s="944">
        <v>39035103900</v>
      </c>
      <c r="B397" s="239" t="s">
        <v>415</v>
      </c>
      <c r="C397" s="286" t="s">
        <v>4330</v>
      </c>
      <c r="D397" s="865" t="s">
        <v>4330</v>
      </c>
      <c r="E397" s="287" t="s">
        <v>3563</v>
      </c>
      <c r="F397" s="287" t="s">
        <v>5177</v>
      </c>
      <c r="G397" s="288" t="s">
        <v>3553</v>
      </c>
      <c r="H397" s="287">
        <v>43951</v>
      </c>
      <c r="I397" s="287" t="s">
        <v>2975</v>
      </c>
      <c r="J397" s="759"/>
    </row>
    <row r="398" spans="1:10" x14ac:dyDescent="0.2">
      <c r="A398" s="944">
        <v>39035104100</v>
      </c>
      <c r="B398" s="239" t="s">
        <v>416</v>
      </c>
      <c r="C398" s="286" t="s">
        <v>4330</v>
      </c>
      <c r="D398" s="865" t="s">
        <v>4330</v>
      </c>
      <c r="E398" s="287" t="s">
        <v>3563</v>
      </c>
      <c r="F398" s="287" t="s">
        <v>3561</v>
      </c>
      <c r="G398" s="288" t="s">
        <v>3553</v>
      </c>
      <c r="H398" s="287">
        <v>43952</v>
      </c>
      <c r="I398" s="287" t="s">
        <v>2975</v>
      </c>
      <c r="J398" s="759"/>
    </row>
    <row r="399" spans="1:10" x14ac:dyDescent="0.2">
      <c r="A399" s="944">
        <v>39035104200</v>
      </c>
      <c r="B399" s="239" t="s">
        <v>417</v>
      </c>
      <c r="C399" s="286" t="s">
        <v>2975</v>
      </c>
      <c r="D399" s="865" t="s">
        <v>4330</v>
      </c>
      <c r="E399" s="287" t="s">
        <v>3562</v>
      </c>
      <c r="F399" s="287" t="s">
        <v>5177</v>
      </c>
      <c r="G399" s="288" t="s">
        <v>3553</v>
      </c>
      <c r="H399" s="287">
        <v>43953</v>
      </c>
      <c r="I399" s="287" t="s">
        <v>2975</v>
      </c>
      <c r="J399" s="759"/>
    </row>
    <row r="400" spans="1:10" x14ac:dyDescent="0.2">
      <c r="A400" s="944">
        <v>39035104300</v>
      </c>
      <c r="B400" s="239" t="s">
        <v>418</v>
      </c>
      <c r="C400" s="286" t="s">
        <v>2975</v>
      </c>
      <c r="D400" s="865" t="s">
        <v>2975</v>
      </c>
      <c r="E400" s="287" t="s">
        <v>3562</v>
      </c>
      <c r="F400" s="287" t="s">
        <v>5177</v>
      </c>
      <c r="G400" s="288" t="s">
        <v>3553</v>
      </c>
      <c r="H400" s="287">
        <v>43961</v>
      </c>
      <c r="I400" s="287" t="s">
        <v>2975</v>
      </c>
      <c r="J400" s="759"/>
    </row>
    <row r="401" spans="1:10" x14ac:dyDescent="0.2">
      <c r="A401" s="944">
        <v>39035104400</v>
      </c>
      <c r="B401" s="239" t="s">
        <v>419</v>
      </c>
      <c r="C401" s="286" t="s">
        <v>4330</v>
      </c>
      <c r="D401" s="865" t="s">
        <v>4330</v>
      </c>
      <c r="E401" s="287" t="s">
        <v>3562</v>
      </c>
      <c r="F401" s="287" t="s">
        <v>5177</v>
      </c>
      <c r="G401" s="288" t="s">
        <v>3553</v>
      </c>
      <c r="H401" s="287">
        <v>43962</v>
      </c>
      <c r="I401" s="287" t="s">
        <v>2975</v>
      </c>
      <c r="J401" s="759"/>
    </row>
    <row r="402" spans="1:10" x14ac:dyDescent="0.2">
      <c r="A402" s="944">
        <v>39035104600</v>
      </c>
      <c r="B402" s="239" t="s">
        <v>420</v>
      </c>
      <c r="C402" s="286" t="s">
        <v>4330</v>
      </c>
      <c r="D402" s="865" t="s">
        <v>4330</v>
      </c>
      <c r="E402" s="287" t="s">
        <v>3557</v>
      </c>
      <c r="F402" s="287" t="s">
        <v>5176</v>
      </c>
      <c r="G402" s="288" t="s">
        <v>3553</v>
      </c>
      <c r="H402" s="287">
        <v>43963</v>
      </c>
      <c r="I402" s="287" t="s">
        <v>2975</v>
      </c>
      <c r="J402" s="759"/>
    </row>
    <row r="403" spans="1:10" x14ac:dyDescent="0.2">
      <c r="A403" s="944">
        <v>39035104800</v>
      </c>
      <c r="B403" s="239" t="s">
        <v>421</v>
      </c>
      <c r="C403" s="286" t="s">
        <v>4330</v>
      </c>
      <c r="D403" s="865" t="s">
        <v>4330</v>
      </c>
      <c r="E403" s="287" t="s">
        <v>3563</v>
      </c>
      <c r="F403" s="287" t="s">
        <v>5177</v>
      </c>
      <c r="G403" s="288" t="s">
        <v>3553</v>
      </c>
      <c r="H403" s="287">
        <v>43964</v>
      </c>
      <c r="I403" s="287" t="s">
        <v>2975</v>
      </c>
      <c r="J403" s="759"/>
    </row>
    <row r="404" spans="1:10" x14ac:dyDescent="0.2">
      <c r="A404" s="944">
        <v>39035104900</v>
      </c>
      <c r="B404" s="239" t="s">
        <v>422</v>
      </c>
      <c r="C404" s="286" t="s">
        <v>4330</v>
      </c>
      <c r="D404" s="865" t="s">
        <v>4330</v>
      </c>
      <c r="E404" s="287" t="s">
        <v>3566</v>
      </c>
      <c r="F404" s="287" t="s">
        <v>3558</v>
      </c>
      <c r="G404" s="288" t="s">
        <v>3553</v>
      </c>
      <c r="H404" s="287">
        <v>43967</v>
      </c>
      <c r="I404" s="287" t="s">
        <v>2975</v>
      </c>
      <c r="J404" s="759"/>
    </row>
    <row r="405" spans="1:10" x14ac:dyDescent="0.2">
      <c r="A405" s="944">
        <v>39035105100</v>
      </c>
      <c r="B405" s="239" t="s">
        <v>423</v>
      </c>
      <c r="C405" s="286" t="s">
        <v>4330</v>
      </c>
      <c r="D405" s="865" t="s">
        <v>4330</v>
      </c>
      <c r="E405" s="287" t="s">
        <v>3566</v>
      </c>
      <c r="F405" s="287" t="s">
        <v>5177</v>
      </c>
      <c r="G405" s="288" t="s">
        <v>3553</v>
      </c>
      <c r="H405" s="287">
        <v>43968</v>
      </c>
      <c r="I405" s="287" t="s">
        <v>2975</v>
      </c>
      <c r="J405" s="759"/>
    </row>
    <row r="406" spans="1:10" x14ac:dyDescent="0.2">
      <c r="A406" s="944">
        <v>39035105300</v>
      </c>
      <c r="B406" s="239" t="s">
        <v>424</v>
      </c>
      <c r="C406" s="286" t="s">
        <v>4330</v>
      </c>
      <c r="D406" s="865" t="s">
        <v>4330</v>
      </c>
      <c r="E406" s="287" t="s">
        <v>3563</v>
      </c>
      <c r="F406" s="287" t="s">
        <v>5177</v>
      </c>
      <c r="G406" s="288" t="s">
        <v>3553</v>
      </c>
      <c r="H406" s="287">
        <v>43970</v>
      </c>
      <c r="I406" s="287" t="s">
        <v>2975</v>
      </c>
      <c r="J406" s="759"/>
    </row>
    <row r="407" spans="1:10" x14ac:dyDescent="0.2">
      <c r="A407" s="944">
        <v>39035105400</v>
      </c>
      <c r="B407" s="239" t="s">
        <v>425</v>
      </c>
      <c r="C407" s="286" t="s">
        <v>4330</v>
      </c>
      <c r="D407" s="865" t="s">
        <v>4330</v>
      </c>
      <c r="E407" s="287" t="s">
        <v>3566</v>
      </c>
      <c r="F407" s="287" t="s">
        <v>3565</v>
      </c>
      <c r="G407" s="288" t="s">
        <v>3553</v>
      </c>
      <c r="H407" s="287">
        <v>43971</v>
      </c>
      <c r="I407" s="287" t="s">
        <v>2975</v>
      </c>
      <c r="J407" s="759"/>
    </row>
    <row r="408" spans="1:10" x14ac:dyDescent="0.2">
      <c r="A408" s="944">
        <v>39035105500</v>
      </c>
      <c r="B408" s="239" t="s">
        <v>426</v>
      </c>
      <c r="C408" s="286" t="s">
        <v>4330</v>
      </c>
      <c r="D408" s="865" t="s">
        <v>4330</v>
      </c>
      <c r="E408" s="287" t="s">
        <v>3566</v>
      </c>
      <c r="F408" s="287" t="s">
        <v>3559</v>
      </c>
      <c r="G408" s="288" t="s">
        <v>3553</v>
      </c>
      <c r="H408" s="287">
        <v>43972</v>
      </c>
      <c r="I408" s="287" t="s">
        <v>2975</v>
      </c>
      <c r="J408" s="759"/>
    </row>
    <row r="409" spans="1:10" x14ac:dyDescent="0.2">
      <c r="A409" s="944">
        <v>39035105602</v>
      </c>
      <c r="B409" s="239" t="s">
        <v>427</v>
      </c>
      <c r="C409" s="286" t="s">
        <v>4330</v>
      </c>
      <c r="D409" s="865" t="s">
        <v>4330</v>
      </c>
      <c r="E409" s="287" t="s">
        <v>3564</v>
      </c>
      <c r="F409" s="287" t="s">
        <v>5176</v>
      </c>
      <c r="G409" s="288" t="s">
        <v>3553</v>
      </c>
      <c r="H409" s="287">
        <v>43973</v>
      </c>
      <c r="I409" s="287" t="s">
        <v>2975</v>
      </c>
      <c r="J409" s="759"/>
    </row>
    <row r="410" spans="1:10" x14ac:dyDescent="0.2">
      <c r="A410" s="944">
        <v>39035105700</v>
      </c>
      <c r="B410" s="239" t="s">
        <v>428</v>
      </c>
      <c r="C410" s="286" t="s">
        <v>4330</v>
      </c>
      <c r="D410" s="865" t="s">
        <v>4330</v>
      </c>
      <c r="E410" s="287" t="s">
        <v>3566</v>
      </c>
      <c r="F410" s="287" t="s">
        <v>5176</v>
      </c>
      <c r="G410" s="288" t="s">
        <v>3553</v>
      </c>
      <c r="H410" s="287">
        <v>43974</v>
      </c>
      <c r="I410" s="287" t="s">
        <v>2975</v>
      </c>
      <c r="J410" s="759"/>
    </row>
    <row r="411" spans="1:10" x14ac:dyDescent="0.2">
      <c r="A411" s="944">
        <v>39035105900</v>
      </c>
      <c r="B411" s="239" t="s">
        <v>429</v>
      </c>
      <c r="C411" s="286" t="s">
        <v>2975</v>
      </c>
      <c r="D411" s="865" t="s">
        <v>2975</v>
      </c>
      <c r="E411" s="287" t="s">
        <v>3563</v>
      </c>
      <c r="F411" s="287" t="s">
        <v>3565</v>
      </c>
      <c r="G411" s="288" t="s">
        <v>3553</v>
      </c>
      <c r="H411" s="287">
        <v>43976</v>
      </c>
      <c r="I411" s="287" t="s">
        <v>2975</v>
      </c>
      <c r="J411" s="759"/>
    </row>
    <row r="412" spans="1:10" x14ac:dyDescent="0.2">
      <c r="A412" s="944">
        <v>39035106100</v>
      </c>
      <c r="B412" s="239" t="s">
        <v>430</v>
      </c>
      <c r="C412" s="286" t="s">
        <v>2975</v>
      </c>
      <c r="D412" s="865" t="s">
        <v>2975</v>
      </c>
      <c r="E412" s="287" t="s">
        <v>3562</v>
      </c>
      <c r="F412" s="287" t="s">
        <v>3565</v>
      </c>
      <c r="G412" s="288" t="s">
        <v>3553</v>
      </c>
      <c r="H412" s="287">
        <v>43977</v>
      </c>
      <c r="I412" s="287" t="s">
        <v>2975</v>
      </c>
      <c r="J412" s="759"/>
    </row>
    <row r="413" spans="1:10" x14ac:dyDescent="0.2">
      <c r="A413" s="944">
        <v>39035106200</v>
      </c>
      <c r="B413" s="239" t="s">
        <v>431</v>
      </c>
      <c r="C413" s="286" t="s">
        <v>2975</v>
      </c>
      <c r="D413" s="865" t="s">
        <v>2975</v>
      </c>
      <c r="E413" s="287" t="s">
        <v>3563</v>
      </c>
      <c r="F413" s="287" t="s">
        <v>5176</v>
      </c>
      <c r="G413" s="288" t="s">
        <v>3553</v>
      </c>
      <c r="H413" s="287">
        <v>43983</v>
      </c>
      <c r="I413" s="287" t="s">
        <v>2975</v>
      </c>
      <c r="J413" s="759"/>
    </row>
    <row r="414" spans="1:10" x14ac:dyDescent="0.2">
      <c r="A414" s="944">
        <v>39035106300</v>
      </c>
      <c r="B414" s="239" t="s">
        <v>432</v>
      </c>
      <c r="C414" s="286" t="s">
        <v>2975</v>
      </c>
      <c r="D414" s="865" t="s">
        <v>2975</v>
      </c>
      <c r="E414" s="287" t="s">
        <v>3563</v>
      </c>
      <c r="F414" s="287" t="s">
        <v>3565</v>
      </c>
      <c r="G414" s="288" t="s">
        <v>3553</v>
      </c>
      <c r="H414" s="287">
        <v>43985</v>
      </c>
      <c r="I414" s="287" t="s">
        <v>2975</v>
      </c>
      <c r="J414" s="759"/>
    </row>
    <row r="415" spans="1:10" x14ac:dyDescent="0.2">
      <c r="A415" s="944">
        <v>39035106400</v>
      </c>
      <c r="B415" s="239" t="s">
        <v>433</v>
      </c>
      <c r="C415" s="286" t="s">
        <v>4330</v>
      </c>
      <c r="D415" s="865" t="s">
        <v>4330</v>
      </c>
      <c r="E415" s="287" t="s">
        <v>3563</v>
      </c>
      <c r="F415" s="287" t="s">
        <v>5176</v>
      </c>
      <c r="G415" s="288" t="s">
        <v>3553</v>
      </c>
      <c r="H415" s="287">
        <v>43986</v>
      </c>
      <c r="I415" s="287" t="s">
        <v>2975</v>
      </c>
      <c r="J415" s="759"/>
    </row>
    <row r="416" spans="1:10" x14ac:dyDescent="0.2">
      <c r="A416" s="944">
        <v>39035106500</v>
      </c>
      <c r="B416" s="239" t="s">
        <v>434</v>
      </c>
      <c r="C416" s="286" t="s">
        <v>2975</v>
      </c>
      <c r="D416" s="865" t="s">
        <v>2975</v>
      </c>
      <c r="E416" s="287" t="s">
        <v>3563</v>
      </c>
      <c r="F416" s="287" t="s">
        <v>5176</v>
      </c>
      <c r="G416" s="288" t="s">
        <v>3553</v>
      </c>
      <c r="H416" s="287">
        <v>43988</v>
      </c>
      <c r="I416" s="287" t="s">
        <v>2975</v>
      </c>
      <c r="J416" s="759"/>
    </row>
    <row r="417" spans="1:10" x14ac:dyDescent="0.2">
      <c r="A417" s="944">
        <v>39035106600</v>
      </c>
      <c r="B417" s="239" t="s">
        <v>435</v>
      </c>
      <c r="C417" s="286" t="s">
        <v>2975</v>
      </c>
      <c r="D417" s="865" t="s">
        <v>2975</v>
      </c>
      <c r="E417" s="287" t="s">
        <v>3563</v>
      </c>
      <c r="F417" s="287" t="s">
        <v>5176</v>
      </c>
      <c r="G417" s="288" t="s">
        <v>3553</v>
      </c>
      <c r="H417" s="287">
        <v>44001</v>
      </c>
      <c r="I417" s="287" t="s">
        <v>2975</v>
      </c>
      <c r="J417" s="759"/>
    </row>
    <row r="418" spans="1:10" x14ac:dyDescent="0.2">
      <c r="A418" s="944">
        <v>39035106800</v>
      </c>
      <c r="B418" s="239" t="s">
        <v>436</v>
      </c>
      <c r="C418" s="286" t="s">
        <v>4330</v>
      </c>
      <c r="D418" s="865" t="s">
        <v>4330</v>
      </c>
      <c r="E418" s="287" t="s">
        <v>3566</v>
      </c>
      <c r="F418" s="287" t="s">
        <v>3559</v>
      </c>
      <c r="G418" s="288" t="s">
        <v>3553</v>
      </c>
      <c r="H418" s="287">
        <v>44003</v>
      </c>
      <c r="I418" s="287" t="s">
        <v>2975</v>
      </c>
      <c r="J418" s="759"/>
    </row>
    <row r="419" spans="1:10" x14ac:dyDescent="0.2">
      <c r="A419" s="944">
        <v>39035106900</v>
      </c>
      <c r="B419" s="239" t="s">
        <v>437</v>
      </c>
      <c r="C419" s="286" t="s">
        <v>2975</v>
      </c>
      <c r="D419" s="865" t="s">
        <v>2975</v>
      </c>
      <c r="E419" s="287" t="s">
        <v>3562</v>
      </c>
      <c r="F419" s="287" t="s">
        <v>3558</v>
      </c>
      <c r="G419" s="288" t="s">
        <v>3553</v>
      </c>
      <c r="H419" s="287">
        <v>44004</v>
      </c>
      <c r="I419" s="287" t="s">
        <v>2975</v>
      </c>
      <c r="J419" s="759"/>
    </row>
    <row r="420" spans="1:10" x14ac:dyDescent="0.2">
      <c r="A420" s="944">
        <v>39035107000</v>
      </c>
      <c r="B420" s="239" t="s">
        <v>438</v>
      </c>
      <c r="C420" s="286" t="s">
        <v>2975</v>
      </c>
      <c r="D420" s="865" t="s">
        <v>2975</v>
      </c>
      <c r="E420" s="287" t="s">
        <v>3564</v>
      </c>
      <c r="F420" s="287" t="s">
        <v>5176</v>
      </c>
      <c r="G420" s="288" t="s">
        <v>3569</v>
      </c>
      <c r="H420" s="287">
        <v>44010</v>
      </c>
      <c r="I420" s="287" t="s">
        <v>2975</v>
      </c>
      <c r="J420" s="759"/>
    </row>
    <row r="421" spans="1:10" x14ac:dyDescent="0.2">
      <c r="A421" s="944">
        <v>39035107101</v>
      </c>
      <c r="B421" s="239" t="s">
        <v>439</v>
      </c>
      <c r="C421" s="286" t="s">
        <v>2975</v>
      </c>
      <c r="D421" s="865" t="s">
        <v>2975</v>
      </c>
      <c r="E421" s="287" t="s">
        <v>3562</v>
      </c>
      <c r="F421" s="287" t="s">
        <v>3559</v>
      </c>
      <c r="G421" s="288" t="s">
        <v>3553</v>
      </c>
      <c r="H421" s="287">
        <v>44011</v>
      </c>
      <c r="I421" s="287" t="s">
        <v>2975</v>
      </c>
      <c r="J421" s="759"/>
    </row>
    <row r="422" spans="1:10" x14ac:dyDescent="0.2">
      <c r="A422" s="944">
        <v>39035107701</v>
      </c>
      <c r="B422" s="239" t="s">
        <v>440</v>
      </c>
      <c r="C422" s="286" t="s">
        <v>2975</v>
      </c>
      <c r="D422" s="865" t="s">
        <v>2975</v>
      </c>
      <c r="E422" s="287" t="s">
        <v>3562</v>
      </c>
      <c r="F422" s="287" t="s">
        <v>5177</v>
      </c>
      <c r="G422" s="288" t="s">
        <v>3553</v>
      </c>
      <c r="H422" s="287">
        <v>44012</v>
      </c>
      <c r="I422" s="287" t="s">
        <v>2975</v>
      </c>
      <c r="J422" s="759"/>
    </row>
    <row r="423" spans="1:10" x14ac:dyDescent="0.2">
      <c r="A423" s="944">
        <v>39035107802</v>
      </c>
      <c r="B423" s="239" t="s">
        <v>441</v>
      </c>
      <c r="C423" s="286" t="s">
        <v>4330</v>
      </c>
      <c r="D423" s="865" t="s">
        <v>4330</v>
      </c>
      <c r="E423" s="287" t="s">
        <v>3562</v>
      </c>
      <c r="F423" s="287" t="s">
        <v>3565</v>
      </c>
      <c r="G423" s="288" t="s">
        <v>3553</v>
      </c>
      <c r="H423" s="287">
        <v>44017</v>
      </c>
      <c r="I423" s="287" t="s">
        <v>2975</v>
      </c>
      <c r="J423" s="759"/>
    </row>
    <row r="424" spans="1:10" x14ac:dyDescent="0.2">
      <c r="A424" s="944">
        <v>39035108201</v>
      </c>
      <c r="B424" s="239" t="s">
        <v>442</v>
      </c>
      <c r="C424" s="286" t="s">
        <v>4330</v>
      </c>
      <c r="D424" s="865" t="s">
        <v>4330</v>
      </c>
      <c r="E424" s="287" t="s">
        <v>3563</v>
      </c>
      <c r="F424" s="287" t="s">
        <v>5176</v>
      </c>
      <c r="G424" s="288" t="s">
        <v>3553</v>
      </c>
      <c r="H424" s="287">
        <v>44021</v>
      </c>
      <c r="I424" s="287" t="s">
        <v>2975</v>
      </c>
      <c r="J424" s="759"/>
    </row>
    <row r="425" spans="1:10" x14ac:dyDescent="0.2">
      <c r="A425" s="944">
        <v>39035108301</v>
      </c>
      <c r="B425" s="239" t="s">
        <v>443</v>
      </c>
      <c r="C425" s="286" t="s">
        <v>4330</v>
      </c>
      <c r="D425" s="865" t="s">
        <v>4330</v>
      </c>
      <c r="E425" s="287" t="s">
        <v>3563</v>
      </c>
      <c r="F425" s="287" t="s">
        <v>5176</v>
      </c>
      <c r="G425" s="288" t="s">
        <v>3553</v>
      </c>
      <c r="H425" s="287">
        <v>44024</v>
      </c>
      <c r="I425" s="287" t="s">
        <v>2975</v>
      </c>
      <c r="J425" s="759"/>
    </row>
    <row r="426" spans="1:10" x14ac:dyDescent="0.2">
      <c r="A426" s="944">
        <v>39035108400</v>
      </c>
      <c r="B426" s="239" t="s">
        <v>444</v>
      </c>
      <c r="C426" s="286" t="s">
        <v>4330</v>
      </c>
      <c r="D426" s="865" t="s">
        <v>4330</v>
      </c>
      <c r="E426" s="287" t="s">
        <v>3566</v>
      </c>
      <c r="F426" s="287" t="s">
        <v>5176</v>
      </c>
      <c r="G426" s="288" t="s">
        <v>3553</v>
      </c>
      <c r="H426" s="287">
        <v>44026</v>
      </c>
      <c r="I426" s="287" t="s">
        <v>2975</v>
      </c>
      <c r="J426" s="759"/>
    </row>
    <row r="427" spans="1:10" x14ac:dyDescent="0.2">
      <c r="A427" s="944">
        <v>39035108701</v>
      </c>
      <c r="B427" s="239" t="s">
        <v>445</v>
      </c>
      <c r="C427" s="286" t="s">
        <v>4330</v>
      </c>
      <c r="D427" s="865" t="s">
        <v>4330</v>
      </c>
      <c r="E427" s="287" t="s">
        <v>3557</v>
      </c>
      <c r="F427" s="287" t="s">
        <v>5177</v>
      </c>
      <c r="G427" s="288" t="s">
        <v>3553</v>
      </c>
      <c r="H427" s="287">
        <v>44028</v>
      </c>
      <c r="I427" s="287" t="s">
        <v>2975</v>
      </c>
      <c r="J427" s="759"/>
    </row>
    <row r="428" spans="1:10" x14ac:dyDescent="0.2">
      <c r="A428" s="944">
        <v>39035109301</v>
      </c>
      <c r="B428" s="239" t="s">
        <v>446</v>
      </c>
      <c r="C428" s="286" t="s">
        <v>4330</v>
      </c>
      <c r="D428" s="865" t="s">
        <v>4330</v>
      </c>
      <c r="E428" s="287" t="s">
        <v>3557</v>
      </c>
      <c r="F428" s="287" t="s">
        <v>3558</v>
      </c>
      <c r="G428" s="288" t="s">
        <v>3553</v>
      </c>
      <c r="H428" s="287">
        <v>44030</v>
      </c>
      <c r="I428" s="287" t="s">
        <v>2975</v>
      </c>
      <c r="J428" s="759"/>
    </row>
    <row r="429" spans="1:10" x14ac:dyDescent="0.2">
      <c r="A429" s="944">
        <v>39035109701</v>
      </c>
      <c r="B429" s="239" t="s">
        <v>447</v>
      </c>
      <c r="C429" s="286" t="s">
        <v>4330</v>
      </c>
      <c r="D429" s="865" t="s">
        <v>4330</v>
      </c>
      <c r="E429" s="287" t="s">
        <v>3557</v>
      </c>
      <c r="F429" s="287" t="s">
        <v>5176</v>
      </c>
      <c r="G429" s="288" t="s">
        <v>3553</v>
      </c>
      <c r="H429" s="287">
        <v>44032</v>
      </c>
      <c r="I429" s="287" t="s">
        <v>2975</v>
      </c>
      <c r="J429" s="759"/>
    </row>
    <row r="430" spans="1:10" x14ac:dyDescent="0.2">
      <c r="A430" s="944">
        <v>39035109801</v>
      </c>
      <c r="B430" s="239" t="s">
        <v>448</v>
      </c>
      <c r="C430" s="286" t="s">
        <v>4330</v>
      </c>
      <c r="D430" s="865" t="s">
        <v>4330</v>
      </c>
      <c r="E430" s="287" t="s">
        <v>3557</v>
      </c>
      <c r="F430" s="287" t="s">
        <v>3561</v>
      </c>
      <c r="G430" s="288" t="s">
        <v>3553</v>
      </c>
      <c r="H430" s="287">
        <v>44035</v>
      </c>
      <c r="I430" s="287" t="s">
        <v>2975</v>
      </c>
      <c r="J430" s="759"/>
    </row>
    <row r="431" spans="1:10" x14ac:dyDescent="0.2">
      <c r="A431" s="944">
        <v>39035110501</v>
      </c>
      <c r="B431" s="239" t="s">
        <v>449</v>
      </c>
      <c r="C431" s="286" t="s">
        <v>4330</v>
      </c>
      <c r="D431" s="865" t="s">
        <v>4330</v>
      </c>
      <c r="E431" s="287" t="s">
        <v>3557</v>
      </c>
      <c r="F431" s="287" t="s">
        <v>3559</v>
      </c>
      <c r="G431" s="288" t="s">
        <v>3553</v>
      </c>
      <c r="H431" s="287">
        <v>44039</v>
      </c>
      <c r="I431" s="287" t="s">
        <v>2975</v>
      </c>
      <c r="J431" s="759"/>
    </row>
    <row r="432" spans="1:10" x14ac:dyDescent="0.2">
      <c r="A432" s="944">
        <v>39035110801</v>
      </c>
      <c r="B432" s="239" t="s">
        <v>450</v>
      </c>
      <c r="C432" s="286" t="s">
        <v>4330</v>
      </c>
      <c r="D432" s="865" t="s">
        <v>4330</v>
      </c>
      <c r="E432" s="287" t="s">
        <v>3564</v>
      </c>
      <c r="F432" s="287" t="s">
        <v>5176</v>
      </c>
      <c r="G432" s="288" t="s">
        <v>3553</v>
      </c>
      <c r="H432" s="287">
        <v>44040</v>
      </c>
      <c r="I432" s="287" t="s">
        <v>2975</v>
      </c>
      <c r="J432" s="759"/>
    </row>
    <row r="433" spans="1:10" x14ac:dyDescent="0.2">
      <c r="A433" s="944">
        <v>39035110901</v>
      </c>
      <c r="B433" s="239" t="s">
        <v>451</v>
      </c>
      <c r="C433" s="286" t="s">
        <v>4330</v>
      </c>
      <c r="D433" s="865" t="s">
        <v>4330</v>
      </c>
      <c r="E433" s="287" t="s">
        <v>3564</v>
      </c>
      <c r="F433" s="287" t="s">
        <v>3558</v>
      </c>
      <c r="G433" s="288" t="s">
        <v>3553</v>
      </c>
      <c r="H433" s="287">
        <v>44041</v>
      </c>
      <c r="I433" s="287" t="s">
        <v>2975</v>
      </c>
      <c r="J433" s="759"/>
    </row>
    <row r="434" spans="1:10" x14ac:dyDescent="0.2">
      <c r="A434" s="944">
        <v>39035111202</v>
      </c>
      <c r="B434" s="239" t="s">
        <v>452</v>
      </c>
      <c r="C434" s="286" t="s">
        <v>4330</v>
      </c>
      <c r="D434" s="865" t="s">
        <v>4330</v>
      </c>
      <c r="E434" s="287" t="s">
        <v>3557</v>
      </c>
      <c r="F434" s="287" t="s">
        <v>3558</v>
      </c>
      <c r="G434" s="288" t="s">
        <v>3553</v>
      </c>
      <c r="H434" s="287">
        <v>44044</v>
      </c>
      <c r="I434" s="287" t="s">
        <v>2975</v>
      </c>
      <c r="J434" s="759"/>
    </row>
    <row r="435" spans="1:10" x14ac:dyDescent="0.2">
      <c r="A435" s="944">
        <v>39035111401</v>
      </c>
      <c r="B435" s="239" t="s">
        <v>453</v>
      </c>
      <c r="C435" s="286" t="s">
        <v>4330</v>
      </c>
      <c r="D435" s="865" t="s">
        <v>4330</v>
      </c>
      <c r="E435" s="287" t="s">
        <v>3557</v>
      </c>
      <c r="F435" s="287" t="s">
        <v>3559</v>
      </c>
      <c r="G435" s="288" t="s">
        <v>3553</v>
      </c>
      <c r="H435" s="287">
        <v>44045</v>
      </c>
      <c r="I435" s="287" t="s">
        <v>2975</v>
      </c>
      <c r="J435" s="759"/>
    </row>
    <row r="436" spans="1:10" x14ac:dyDescent="0.2">
      <c r="A436" s="944">
        <v>39035111500</v>
      </c>
      <c r="B436" s="239" t="s">
        <v>454</v>
      </c>
      <c r="C436" s="286" t="s">
        <v>4330</v>
      </c>
      <c r="D436" s="865" t="s">
        <v>4330</v>
      </c>
      <c r="E436" s="287" t="s">
        <v>3557</v>
      </c>
      <c r="F436" s="287" t="s">
        <v>3565</v>
      </c>
      <c r="G436" s="288" t="s">
        <v>3553</v>
      </c>
      <c r="H436" s="287">
        <v>44046</v>
      </c>
      <c r="I436" s="287" t="s">
        <v>2975</v>
      </c>
      <c r="J436" s="759"/>
    </row>
    <row r="437" spans="1:10" x14ac:dyDescent="0.2">
      <c r="A437" s="944">
        <v>39035111600</v>
      </c>
      <c r="B437" s="239" t="s">
        <v>455</v>
      </c>
      <c r="C437" s="286" t="s">
        <v>4330</v>
      </c>
      <c r="D437" s="865" t="s">
        <v>4330</v>
      </c>
      <c r="E437" s="287" t="s">
        <v>3557</v>
      </c>
      <c r="F437" s="287" t="s">
        <v>5176</v>
      </c>
      <c r="G437" s="288" t="s">
        <v>3553</v>
      </c>
      <c r="H437" s="287">
        <v>44047</v>
      </c>
      <c r="I437" s="287" t="s">
        <v>2975</v>
      </c>
      <c r="J437" s="759"/>
    </row>
    <row r="438" spans="1:10" x14ac:dyDescent="0.2">
      <c r="A438" s="944">
        <v>39035111700</v>
      </c>
      <c r="B438" s="239" t="s">
        <v>456</v>
      </c>
      <c r="C438" s="286" t="s">
        <v>4330</v>
      </c>
      <c r="D438" s="865" t="s">
        <v>4330</v>
      </c>
      <c r="E438" s="287" t="s">
        <v>3557</v>
      </c>
      <c r="F438" s="287" t="s">
        <v>5177</v>
      </c>
      <c r="G438" s="288" t="s">
        <v>3553</v>
      </c>
      <c r="H438" s="287">
        <v>44048</v>
      </c>
      <c r="I438" s="287" t="s">
        <v>2975</v>
      </c>
      <c r="J438" s="759"/>
    </row>
    <row r="439" spans="1:10" x14ac:dyDescent="0.2">
      <c r="A439" s="944">
        <v>39035111800</v>
      </c>
      <c r="B439" s="239" t="s">
        <v>457</v>
      </c>
      <c r="C439" s="286" t="s">
        <v>4330</v>
      </c>
      <c r="D439" s="865" t="s">
        <v>4330</v>
      </c>
      <c r="E439" s="287" t="s">
        <v>3557</v>
      </c>
      <c r="F439" s="287" t="s">
        <v>3560</v>
      </c>
      <c r="G439" s="288" t="s">
        <v>3553</v>
      </c>
      <c r="H439" s="287">
        <v>44049</v>
      </c>
      <c r="I439" s="287" t="s">
        <v>2975</v>
      </c>
      <c r="J439" s="759"/>
    </row>
    <row r="440" spans="1:10" x14ac:dyDescent="0.2">
      <c r="A440" s="944">
        <v>39035111902</v>
      </c>
      <c r="B440" s="239" t="s">
        <v>458</v>
      </c>
      <c r="C440" s="286" t="s">
        <v>4330</v>
      </c>
      <c r="D440" s="865" t="s">
        <v>4330</v>
      </c>
      <c r="E440" s="287" t="s">
        <v>3557</v>
      </c>
      <c r="F440" s="287" t="s">
        <v>3565</v>
      </c>
      <c r="G440" s="288" t="s">
        <v>3553</v>
      </c>
      <c r="H440" s="287">
        <v>44050</v>
      </c>
      <c r="I440" s="287" t="s">
        <v>2975</v>
      </c>
      <c r="J440" s="759"/>
    </row>
    <row r="441" spans="1:10" x14ac:dyDescent="0.2">
      <c r="A441" s="944">
        <v>39035112100</v>
      </c>
      <c r="B441" s="239" t="s">
        <v>459</v>
      </c>
      <c r="C441" s="286" t="s">
        <v>4330</v>
      </c>
      <c r="D441" s="865" t="s">
        <v>4330</v>
      </c>
      <c r="E441" s="287" t="s">
        <v>3557</v>
      </c>
      <c r="F441" s="287" t="s">
        <v>3565</v>
      </c>
      <c r="G441" s="288" t="s">
        <v>3553</v>
      </c>
      <c r="H441" s="287">
        <v>44052</v>
      </c>
      <c r="I441" s="287" t="s">
        <v>2975</v>
      </c>
      <c r="J441" s="759"/>
    </row>
    <row r="442" spans="1:10" x14ac:dyDescent="0.2">
      <c r="A442" s="944">
        <v>39035112200</v>
      </c>
      <c r="B442" s="239" t="s">
        <v>460</v>
      </c>
      <c r="C442" s="286" t="s">
        <v>4330</v>
      </c>
      <c r="D442" s="865" t="s">
        <v>4330</v>
      </c>
      <c r="E442" s="287" t="s">
        <v>3557</v>
      </c>
      <c r="F442" s="287" t="s">
        <v>5177</v>
      </c>
      <c r="G442" s="288" t="s">
        <v>3553</v>
      </c>
      <c r="H442" s="287">
        <v>44053</v>
      </c>
      <c r="I442" s="287" t="s">
        <v>2975</v>
      </c>
      <c r="J442" s="759"/>
    </row>
    <row r="443" spans="1:10" x14ac:dyDescent="0.2">
      <c r="A443" s="944">
        <v>39035112301</v>
      </c>
      <c r="B443" s="239" t="s">
        <v>461</v>
      </c>
      <c r="C443" s="286" t="s">
        <v>4330</v>
      </c>
      <c r="D443" s="865" t="s">
        <v>4330</v>
      </c>
      <c r="E443" s="287" t="s">
        <v>3557</v>
      </c>
      <c r="F443" s="287" t="s">
        <v>3565</v>
      </c>
      <c r="G443" s="288" t="s">
        <v>3553</v>
      </c>
      <c r="H443" s="287">
        <v>44054</v>
      </c>
      <c r="I443" s="287" t="s">
        <v>2975</v>
      </c>
      <c r="J443" s="759"/>
    </row>
    <row r="444" spans="1:10" x14ac:dyDescent="0.2">
      <c r="A444" s="944">
        <v>39035112400</v>
      </c>
      <c r="B444" s="239" t="s">
        <v>462</v>
      </c>
      <c r="C444" s="286" t="s">
        <v>2975</v>
      </c>
      <c r="D444" s="865" t="s">
        <v>2975</v>
      </c>
      <c r="E444" s="287" t="s">
        <v>3566</v>
      </c>
      <c r="F444" s="287" t="s">
        <v>5177</v>
      </c>
      <c r="G444" s="288" t="s">
        <v>3553</v>
      </c>
      <c r="H444" s="287">
        <v>44055</v>
      </c>
      <c r="I444" s="287" t="s">
        <v>2975</v>
      </c>
      <c r="J444" s="759"/>
    </row>
    <row r="445" spans="1:10" x14ac:dyDescent="0.2">
      <c r="A445" s="944">
        <v>39035112500</v>
      </c>
      <c r="B445" s="239" t="s">
        <v>463</v>
      </c>
      <c r="C445" s="286" t="s">
        <v>4330</v>
      </c>
      <c r="D445" s="865" t="s">
        <v>4330</v>
      </c>
      <c r="E445" s="287" t="s">
        <v>3557</v>
      </c>
      <c r="F445" s="287" t="s">
        <v>5176</v>
      </c>
      <c r="G445" s="288" t="s">
        <v>3553</v>
      </c>
      <c r="H445" s="287">
        <v>44057</v>
      </c>
      <c r="I445" s="287" t="s">
        <v>2975</v>
      </c>
      <c r="J445" s="759"/>
    </row>
    <row r="446" spans="1:10" x14ac:dyDescent="0.2">
      <c r="A446" s="944">
        <v>39035112600</v>
      </c>
      <c r="B446" s="239" t="s">
        <v>464</v>
      </c>
      <c r="C446" s="286" t="s">
        <v>4330</v>
      </c>
      <c r="D446" s="865" t="s">
        <v>4330</v>
      </c>
      <c r="E446" s="287" t="s">
        <v>3557</v>
      </c>
      <c r="F446" s="287" t="s">
        <v>3558</v>
      </c>
      <c r="G446" s="288" t="s">
        <v>3553</v>
      </c>
      <c r="H446" s="287">
        <v>44060</v>
      </c>
      <c r="I446" s="287" t="s">
        <v>2975</v>
      </c>
      <c r="J446" s="759"/>
    </row>
    <row r="447" spans="1:10" x14ac:dyDescent="0.2">
      <c r="A447" s="944">
        <v>39035112800</v>
      </c>
      <c r="B447" s="239" t="s">
        <v>465</v>
      </c>
      <c r="C447" s="286" t="s">
        <v>4330</v>
      </c>
      <c r="D447" s="865" t="s">
        <v>4330</v>
      </c>
      <c r="E447" s="287" t="s">
        <v>3557</v>
      </c>
      <c r="F447" s="287" t="s">
        <v>3560</v>
      </c>
      <c r="G447" s="288" t="s">
        <v>3553</v>
      </c>
      <c r="H447" s="287">
        <v>44062</v>
      </c>
      <c r="I447" s="287" t="s">
        <v>2975</v>
      </c>
      <c r="J447" s="759"/>
    </row>
    <row r="448" spans="1:10" x14ac:dyDescent="0.2">
      <c r="A448" s="944">
        <v>39035113101</v>
      </c>
      <c r="B448" s="239" t="s">
        <v>466</v>
      </c>
      <c r="C448" s="286" t="s">
        <v>4330</v>
      </c>
      <c r="D448" s="865" t="s">
        <v>4330</v>
      </c>
      <c r="E448" s="287" t="s">
        <v>3566</v>
      </c>
      <c r="F448" s="287" t="s">
        <v>3559</v>
      </c>
      <c r="G448" s="288" t="s">
        <v>3553</v>
      </c>
      <c r="H448" s="287">
        <v>44064</v>
      </c>
      <c r="I448" s="287" t="s">
        <v>2975</v>
      </c>
      <c r="J448" s="759"/>
    </row>
    <row r="449" spans="1:10" x14ac:dyDescent="0.2">
      <c r="A449" s="944">
        <v>39035113500</v>
      </c>
      <c r="B449" s="239" t="s">
        <v>467</v>
      </c>
      <c r="C449" s="286" t="s">
        <v>4330</v>
      </c>
      <c r="D449" s="865" t="s">
        <v>4330</v>
      </c>
      <c r="E449" s="287" t="s">
        <v>3566</v>
      </c>
      <c r="F449" s="287" t="s">
        <v>5176</v>
      </c>
      <c r="G449" s="288" t="s">
        <v>3553</v>
      </c>
      <c r="H449" s="287">
        <v>44065</v>
      </c>
      <c r="I449" s="287" t="s">
        <v>2975</v>
      </c>
      <c r="J449" s="759"/>
    </row>
    <row r="450" spans="1:10" x14ac:dyDescent="0.2">
      <c r="A450" s="944">
        <v>39035113600</v>
      </c>
      <c r="B450" s="239" t="s">
        <v>468</v>
      </c>
      <c r="C450" s="286" t="s">
        <v>2975</v>
      </c>
      <c r="D450" s="865" t="s">
        <v>2975</v>
      </c>
      <c r="E450" s="287" t="s">
        <v>3564</v>
      </c>
      <c r="F450" s="287" t="s">
        <v>5176</v>
      </c>
      <c r="G450" s="288" t="s">
        <v>3553</v>
      </c>
      <c r="H450" s="287">
        <v>44067</v>
      </c>
      <c r="I450" s="287" t="s">
        <v>2975</v>
      </c>
      <c r="J450" s="759"/>
    </row>
    <row r="451" spans="1:10" x14ac:dyDescent="0.2">
      <c r="A451" s="944">
        <v>39035113801</v>
      </c>
      <c r="B451" s="239" t="s">
        <v>469</v>
      </c>
      <c r="C451" s="286" t="s">
        <v>4330</v>
      </c>
      <c r="D451" s="865" t="s">
        <v>4330</v>
      </c>
      <c r="E451" s="287" t="s">
        <v>3557</v>
      </c>
      <c r="F451" s="287" t="s">
        <v>5176</v>
      </c>
      <c r="G451" s="288" t="s">
        <v>3553</v>
      </c>
      <c r="H451" s="287">
        <v>44070</v>
      </c>
      <c r="I451" s="287" t="s">
        <v>2975</v>
      </c>
      <c r="J451" s="759"/>
    </row>
    <row r="452" spans="1:10" x14ac:dyDescent="0.2">
      <c r="A452" s="944">
        <v>39035114100</v>
      </c>
      <c r="B452" s="239" t="s">
        <v>470</v>
      </c>
      <c r="C452" s="286" t="s">
        <v>4330</v>
      </c>
      <c r="D452" s="865" t="s">
        <v>4330</v>
      </c>
      <c r="E452" s="287" t="s">
        <v>3557</v>
      </c>
      <c r="F452" s="287" t="s">
        <v>3565</v>
      </c>
      <c r="G452" s="288" t="s">
        <v>3553</v>
      </c>
      <c r="H452" s="287">
        <v>44072</v>
      </c>
      <c r="I452" s="287" t="s">
        <v>2975</v>
      </c>
      <c r="J452" s="759"/>
    </row>
    <row r="453" spans="1:10" x14ac:dyDescent="0.2">
      <c r="A453" s="944">
        <v>39035114300</v>
      </c>
      <c r="B453" s="239" t="s">
        <v>471</v>
      </c>
      <c r="C453" s="286" t="s">
        <v>4330</v>
      </c>
      <c r="D453" s="865" t="s">
        <v>4330</v>
      </c>
      <c r="E453" s="287" t="s">
        <v>3557</v>
      </c>
      <c r="F453" s="287" t="s">
        <v>5176</v>
      </c>
      <c r="G453" s="288" t="s">
        <v>3553</v>
      </c>
      <c r="H453" s="287">
        <v>44074</v>
      </c>
      <c r="I453" s="287" t="s">
        <v>2975</v>
      </c>
      <c r="J453" s="759"/>
    </row>
    <row r="454" spans="1:10" x14ac:dyDescent="0.2">
      <c r="A454" s="944">
        <v>39035114501</v>
      </c>
      <c r="B454" s="239" t="s">
        <v>472</v>
      </c>
      <c r="C454" s="286" t="s">
        <v>4330</v>
      </c>
      <c r="D454" s="865" t="s">
        <v>4330</v>
      </c>
      <c r="E454" s="287" t="s">
        <v>3564</v>
      </c>
      <c r="F454" s="287" t="s">
        <v>3561</v>
      </c>
      <c r="G454" s="288" t="s">
        <v>3553</v>
      </c>
      <c r="H454" s="287">
        <v>44076</v>
      </c>
      <c r="I454" s="287" t="s">
        <v>2975</v>
      </c>
      <c r="J454" s="759"/>
    </row>
    <row r="455" spans="1:10" x14ac:dyDescent="0.2">
      <c r="A455" s="944">
        <v>39035114600</v>
      </c>
      <c r="B455" s="239" t="s">
        <v>473</v>
      </c>
      <c r="C455" s="286" t="s">
        <v>4330</v>
      </c>
      <c r="D455" s="865" t="s">
        <v>4330</v>
      </c>
      <c r="E455" s="287" t="s">
        <v>3564</v>
      </c>
      <c r="F455" s="287" t="s">
        <v>5176</v>
      </c>
      <c r="G455" s="288" t="s">
        <v>3553</v>
      </c>
      <c r="H455" s="287">
        <v>44077</v>
      </c>
      <c r="I455" s="287" t="s">
        <v>2975</v>
      </c>
      <c r="J455" s="759"/>
    </row>
    <row r="456" spans="1:10" x14ac:dyDescent="0.2">
      <c r="A456" s="944">
        <v>39035114700</v>
      </c>
      <c r="B456" s="239" t="s">
        <v>474</v>
      </c>
      <c r="C456" s="286" t="s">
        <v>4330</v>
      </c>
      <c r="D456" s="865" t="s">
        <v>4330</v>
      </c>
      <c r="E456" s="287" t="s">
        <v>3557</v>
      </c>
      <c r="F456" s="287" t="s">
        <v>3559</v>
      </c>
      <c r="G456" s="288" t="s">
        <v>3553</v>
      </c>
      <c r="H456" s="287">
        <v>44080</v>
      </c>
      <c r="I456" s="287" t="s">
        <v>2975</v>
      </c>
      <c r="J456" s="759"/>
    </row>
    <row r="457" spans="1:10" x14ac:dyDescent="0.2">
      <c r="A457" s="944">
        <v>39035114900</v>
      </c>
      <c r="B457" s="239" t="s">
        <v>475</v>
      </c>
      <c r="C457" s="286" t="s">
        <v>4330</v>
      </c>
      <c r="D457" s="865" t="s">
        <v>4330</v>
      </c>
      <c r="E457" s="287" t="s">
        <v>3557</v>
      </c>
      <c r="F457" s="287" t="s">
        <v>3558</v>
      </c>
      <c r="G457" s="288" t="s">
        <v>3553</v>
      </c>
      <c r="H457" s="287">
        <v>44081</v>
      </c>
      <c r="I457" s="287" t="s">
        <v>2975</v>
      </c>
      <c r="J457" s="759"/>
    </row>
    <row r="458" spans="1:10" x14ac:dyDescent="0.2">
      <c r="A458" s="944">
        <v>39035115100</v>
      </c>
      <c r="B458" s="239" t="s">
        <v>476</v>
      </c>
      <c r="C458" s="286" t="s">
        <v>4330</v>
      </c>
      <c r="D458" s="865" t="s">
        <v>4330</v>
      </c>
      <c r="E458" s="287" t="s">
        <v>3564</v>
      </c>
      <c r="F458" s="287" t="s">
        <v>3559</v>
      </c>
      <c r="G458" s="288" t="s">
        <v>3553</v>
      </c>
      <c r="H458" s="287">
        <v>44082</v>
      </c>
      <c r="I458" s="287" t="s">
        <v>2975</v>
      </c>
      <c r="J458" s="759"/>
    </row>
    <row r="459" spans="1:10" x14ac:dyDescent="0.2">
      <c r="A459" s="944">
        <v>39035115200</v>
      </c>
      <c r="B459" s="239" t="s">
        <v>477</v>
      </c>
      <c r="C459" s="286" t="s">
        <v>2975</v>
      </c>
      <c r="D459" s="865" t="s">
        <v>2975</v>
      </c>
      <c r="E459" s="287" t="s">
        <v>3563</v>
      </c>
      <c r="F459" s="287" t="s">
        <v>3561</v>
      </c>
      <c r="G459" s="288" t="s">
        <v>3553</v>
      </c>
      <c r="H459" s="287">
        <v>44084</v>
      </c>
      <c r="I459" s="287" t="s">
        <v>2975</v>
      </c>
      <c r="J459" s="759"/>
    </row>
    <row r="460" spans="1:10" x14ac:dyDescent="0.2">
      <c r="A460" s="944">
        <v>39035115300</v>
      </c>
      <c r="B460" s="239" t="s">
        <v>478</v>
      </c>
      <c r="C460" s="286" t="s">
        <v>4330</v>
      </c>
      <c r="D460" s="865" t="s">
        <v>4330</v>
      </c>
      <c r="E460" s="287" t="s">
        <v>3564</v>
      </c>
      <c r="F460" s="287" t="s">
        <v>5177</v>
      </c>
      <c r="G460" s="288" t="s">
        <v>3553</v>
      </c>
      <c r="H460" s="287">
        <v>44085</v>
      </c>
      <c r="I460" s="287" t="s">
        <v>2975</v>
      </c>
      <c r="J460" s="759"/>
    </row>
    <row r="461" spans="1:10" x14ac:dyDescent="0.2">
      <c r="A461" s="944">
        <v>39035115400</v>
      </c>
      <c r="B461" s="239" t="s">
        <v>479</v>
      </c>
      <c r="C461" s="286" t="s">
        <v>4330</v>
      </c>
      <c r="D461" s="865" t="s">
        <v>4330</v>
      </c>
      <c r="E461" s="287" t="s">
        <v>3564</v>
      </c>
      <c r="F461" s="287" t="s">
        <v>3559</v>
      </c>
      <c r="G461" s="288" t="s">
        <v>3553</v>
      </c>
      <c r="H461" s="287">
        <v>44086</v>
      </c>
      <c r="I461" s="287" t="s">
        <v>2975</v>
      </c>
      <c r="J461" s="759"/>
    </row>
    <row r="462" spans="1:10" x14ac:dyDescent="0.2">
      <c r="A462" s="944">
        <v>39035115700</v>
      </c>
      <c r="B462" s="239" t="s">
        <v>480</v>
      </c>
      <c r="C462" s="286" t="s">
        <v>4330</v>
      </c>
      <c r="D462" s="865" t="s">
        <v>4330</v>
      </c>
      <c r="E462" s="287" t="s">
        <v>3564</v>
      </c>
      <c r="F462" s="287" t="s">
        <v>5177</v>
      </c>
      <c r="G462" s="288" t="s">
        <v>3553</v>
      </c>
      <c r="H462" s="287">
        <v>44087</v>
      </c>
      <c r="I462" s="287" t="s">
        <v>2975</v>
      </c>
      <c r="J462" s="759"/>
    </row>
    <row r="463" spans="1:10" x14ac:dyDescent="0.2">
      <c r="A463" s="944">
        <v>39035115800</v>
      </c>
      <c r="B463" s="239" t="s">
        <v>481</v>
      </c>
      <c r="C463" s="286" t="s">
        <v>4330</v>
      </c>
      <c r="D463" s="865" t="s">
        <v>4330</v>
      </c>
      <c r="E463" s="287" t="s">
        <v>3564</v>
      </c>
      <c r="F463" s="287" t="s">
        <v>5176</v>
      </c>
      <c r="G463" s="288" t="s">
        <v>3553</v>
      </c>
      <c r="H463" s="287">
        <v>44089</v>
      </c>
      <c r="I463" s="287" t="s">
        <v>2975</v>
      </c>
      <c r="J463" s="759"/>
    </row>
    <row r="464" spans="1:10" x14ac:dyDescent="0.2">
      <c r="A464" s="944">
        <v>39035115900</v>
      </c>
      <c r="B464" s="239" t="s">
        <v>482</v>
      </c>
      <c r="C464" s="286" t="s">
        <v>4330</v>
      </c>
      <c r="D464" s="865" t="s">
        <v>4330</v>
      </c>
      <c r="E464" s="287" t="s">
        <v>3564</v>
      </c>
      <c r="F464" s="287" t="s">
        <v>5176</v>
      </c>
      <c r="G464" s="288" t="s">
        <v>3553</v>
      </c>
      <c r="H464" s="287">
        <v>44090</v>
      </c>
      <c r="I464" s="287" t="s">
        <v>2975</v>
      </c>
      <c r="J464" s="759"/>
    </row>
    <row r="465" spans="1:10" x14ac:dyDescent="0.2">
      <c r="A465" s="944">
        <v>39035116100</v>
      </c>
      <c r="B465" s="239" t="s">
        <v>483</v>
      </c>
      <c r="C465" s="286" t="s">
        <v>4330</v>
      </c>
      <c r="D465" s="865" t="s">
        <v>4330</v>
      </c>
      <c r="E465" s="287" t="s">
        <v>3564</v>
      </c>
      <c r="F465" s="287" t="s">
        <v>5177</v>
      </c>
      <c r="G465" s="288" t="s">
        <v>3553</v>
      </c>
      <c r="H465" s="287">
        <v>44092</v>
      </c>
      <c r="I465" s="287" t="s">
        <v>2975</v>
      </c>
      <c r="J465" s="759"/>
    </row>
    <row r="466" spans="1:10" x14ac:dyDescent="0.2">
      <c r="A466" s="944">
        <v>39035116200</v>
      </c>
      <c r="B466" s="239" t="s">
        <v>484</v>
      </c>
      <c r="C466" s="286" t="s">
        <v>4330</v>
      </c>
      <c r="D466" s="865" t="s">
        <v>4330</v>
      </c>
      <c r="E466" s="287" t="s">
        <v>3566</v>
      </c>
      <c r="F466" s="287" t="s">
        <v>5177</v>
      </c>
      <c r="G466" s="288" t="s">
        <v>3553</v>
      </c>
      <c r="H466" s="287">
        <v>44093</v>
      </c>
      <c r="I466" s="287" t="s">
        <v>2975</v>
      </c>
      <c r="J466" s="759"/>
    </row>
    <row r="467" spans="1:10" x14ac:dyDescent="0.2">
      <c r="A467" s="944">
        <v>39035116300</v>
      </c>
      <c r="B467" s="239" t="s">
        <v>485</v>
      </c>
      <c r="C467" s="286" t="s">
        <v>4330</v>
      </c>
      <c r="D467" s="865" t="s">
        <v>4330</v>
      </c>
      <c r="E467" s="287" t="s">
        <v>3557</v>
      </c>
      <c r="F467" s="287" t="s">
        <v>3565</v>
      </c>
      <c r="G467" s="288" t="s">
        <v>3553</v>
      </c>
      <c r="H467" s="287">
        <v>44094</v>
      </c>
      <c r="I467" s="287" t="s">
        <v>2975</v>
      </c>
      <c r="J467" s="759"/>
    </row>
    <row r="468" spans="1:10" x14ac:dyDescent="0.2">
      <c r="A468" s="944">
        <v>39035116400</v>
      </c>
      <c r="B468" s="239" t="s">
        <v>486</v>
      </c>
      <c r="C468" s="286" t="s">
        <v>4330</v>
      </c>
      <c r="D468" s="865" t="s">
        <v>4330</v>
      </c>
      <c r="E468" s="287" t="s">
        <v>3564</v>
      </c>
      <c r="F468" s="287" t="s">
        <v>5176</v>
      </c>
      <c r="G468" s="288" t="s">
        <v>3553</v>
      </c>
      <c r="H468" s="287">
        <v>44095</v>
      </c>
      <c r="I468" s="287" t="s">
        <v>2975</v>
      </c>
      <c r="J468" s="759"/>
    </row>
    <row r="469" spans="1:10" x14ac:dyDescent="0.2">
      <c r="A469" s="944">
        <v>39035116500</v>
      </c>
      <c r="B469" s="239" t="s">
        <v>487</v>
      </c>
      <c r="C469" s="286" t="s">
        <v>4330</v>
      </c>
      <c r="D469" s="865" t="s">
        <v>4330</v>
      </c>
      <c r="E469" s="287" t="s">
        <v>3557</v>
      </c>
      <c r="F469" s="287" t="s">
        <v>5177</v>
      </c>
      <c r="G469" s="288" t="s">
        <v>3553</v>
      </c>
      <c r="H469" s="287">
        <v>44099</v>
      </c>
      <c r="I469" s="287" t="s">
        <v>2975</v>
      </c>
      <c r="J469" s="759"/>
    </row>
    <row r="470" spans="1:10" x14ac:dyDescent="0.2">
      <c r="A470" s="944">
        <v>39035116600</v>
      </c>
      <c r="B470" s="239" t="s">
        <v>488</v>
      </c>
      <c r="C470" s="286" t="s">
        <v>4330</v>
      </c>
      <c r="D470" s="865" t="s">
        <v>4330</v>
      </c>
      <c r="E470" s="287" t="s">
        <v>3557</v>
      </c>
      <c r="F470" s="287" t="s">
        <v>3565</v>
      </c>
      <c r="G470" s="288" t="s">
        <v>3553</v>
      </c>
      <c r="H470" s="287">
        <v>44101</v>
      </c>
      <c r="I470" s="287" t="s">
        <v>2975</v>
      </c>
      <c r="J470" s="759"/>
    </row>
    <row r="471" spans="1:10" x14ac:dyDescent="0.2">
      <c r="A471" s="944">
        <v>39035116700</v>
      </c>
      <c r="B471" s="239" t="s">
        <v>489</v>
      </c>
      <c r="C471" s="286" t="s">
        <v>4330</v>
      </c>
      <c r="D471" s="865" t="s">
        <v>4330</v>
      </c>
      <c r="E471" s="287" t="s">
        <v>3564</v>
      </c>
      <c r="F471" s="287" t="s">
        <v>3565</v>
      </c>
      <c r="G471" s="288" t="s">
        <v>3553</v>
      </c>
      <c r="H471" s="287">
        <v>44102</v>
      </c>
      <c r="I471" s="287" t="s">
        <v>2975</v>
      </c>
      <c r="J471" s="759"/>
    </row>
    <row r="472" spans="1:10" x14ac:dyDescent="0.2">
      <c r="A472" s="944">
        <v>39035116800</v>
      </c>
      <c r="B472" s="239" t="s">
        <v>490</v>
      </c>
      <c r="C472" s="286" t="s">
        <v>4330</v>
      </c>
      <c r="D472" s="865" t="s">
        <v>4330</v>
      </c>
      <c r="E472" s="287" t="s">
        <v>3557</v>
      </c>
      <c r="F472" s="287" t="s">
        <v>3565</v>
      </c>
      <c r="G472" s="288" t="s">
        <v>3553</v>
      </c>
      <c r="H472" s="287">
        <v>44103</v>
      </c>
      <c r="I472" s="287" t="s">
        <v>2975</v>
      </c>
      <c r="J472" s="759"/>
    </row>
    <row r="473" spans="1:10" x14ac:dyDescent="0.2">
      <c r="A473" s="944">
        <v>39035116900</v>
      </c>
      <c r="B473" s="239" t="s">
        <v>491</v>
      </c>
      <c r="C473" s="286" t="s">
        <v>4330</v>
      </c>
      <c r="D473" s="865" t="s">
        <v>4330</v>
      </c>
      <c r="E473" s="287" t="s">
        <v>3564</v>
      </c>
      <c r="F473" s="287" t="s">
        <v>3559</v>
      </c>
      <c r="G473" s="288" t="s">
        <v>3553</v>
      </c>
      <c r="H473" s="287">
        <v>44104</v>
      </c>
      <c r="I473" s="287" t="s">
        <v>2975</v>
      </c>
      <c r="J473" s="759"/>
    </row>
    <row r="474" spans="1:10" x14ac:dyDescent="0.2">
      <c r="A474" s="944">
        <v>39035117101</v>
      </c>
      <c r="B474" s="239" t="s">
        <v>492</v>
      </c>
      <c r="C474" s="286" t="s">
        <v>4330</v>
      </c>
      <c r="D474" s="865" t="s">
        <v>4330</v>
      </c>
      <c r="E474" s="287" t="s">
        <v>3564</v>
      </c>
      <c r="F474" s="287" t="s">
        <v>3559</v>
      </c>
      <c r="G474" s="288" t="s">
        <v>3553</v>
      </c>
      <c r="H474" s="287">
        <v>44105</v>
      </c>
      <c r="I474" s="287" t="s">
        <v>2975</v>
      </c>
      <c r="J474" s="759"/>
    </row>
    <row r="475" spans="1:10" x14ac:dyDescent="0.2">
      <c r="A475" s="944">
        <v>39035117102</v>
      </c>
      <c r="B475" s="239" t="s">
        <v>493</v>
      </c>
      <c r="C475" s="286" t="s">
        <v>4330</v>
      </c>
      <c r="D475" s="865" t="s">
        <v>4330</v>
      </c>
      <c r="E475" s="287" t="s">
        <v>3557</v>
      </c>
      <c r="F475" s="287" t="s">
        <v>3565</v>
      </c>
      <c r="G475" s="288" t="s">
        <v>3553</v>
      </c>
      <c r="H475" s="287">
        <v>44106</v>
      </c>
      <c r="I475" s="287" t="s">
        <v>2975</v>
      </c>
      <c r="J475" s="759"/>
    </row>
    <row r="476" spans="1:10" x14ac:dyDescent="0.2">
      <c r="A476" s="944">
        <v>39035117201</v>
      </c>
      <c r="B476" s="239" t="s">
        <v>494</v>
      </c>
      <c r="C476" s="286" t="s">
        <v>4330</v>
      </c>
      <c r="D476" s="865" t="s">
        <v>4330</v>
      </c>
      <c r="E476" s="287" t="s">
        <v>3557</v>
      </c>
      <c r="F476" s="287" t="s">
        <v>3559</v>
      </c>
      <c r="G476" s="288" t="s">
        <v>3553</v>
      </c>
      <c r="H476" s="287">
        <v>44107</v>
      </c>
      <c r="I476" s="287" t="s">
        <v>2975</v>
      </c>
      <c r="J476" s="759"/>
    </row>
    <row r="477" spans="1:10" x14ac:dyDescent="0.2">
      <c r="A477" s="944">
        <v>39035117202</v>
      </c>
      <c r="B477" s="239" t="s">
        <v>495</v>
      </c>
      <c r="C477" s="286" t="s">
        <v>4330</v>
      </c>
      <c r="D477" s="865" t="s">
        <v>4330</v>
      </c>
      <c r="E477" s="287" t="s">
        <v>3564</v>
      </c>
      <c r="F477" s="287" t="s">
        <v>3559</v>
      </c>
      <c r="G477" s="288" t="s">
        <v>3553</v>
      </c>
      <c r="H477" s="287">
        <v>44108</v>
      </c>
      <c r="I477" s="287" t="s">
        <v>2975</v>
      </c>
      <c r="J477" s="759"/>
    </row>
    <row r="478" spans="1:10" x14ac:dyDescent="0.2">
      <c r="A478" s="944">
        <v>39035117300</v>
      </c>
      <c r="B478" s="239" t="s">
        <v>496</v>
      </c>
      <c r="C478" s="286" t="s">
        <v>4330</v>
      </c>
      <c r="D478" s="865" t="s">
        <v>4330</v>
      </c>
      <c r="E478" s="287" t="s">
        <v>3557</v>
      </c>
      <c r="F478" s="287" t="s">
        <v>3558</v>
      </c>
      <c r="G478" s="288" t="s">
        <v>3553</v>
      </c>
      <c r="H478" s="287">
        <v>44109</v>
      </c>
      <c r="I478" s="287" t="s">
        <v>2975</v>
      </c>
      <c r="J478" s="759"/>
    </row>
    <row r="479" spans="1:10" x14ac:dyDescent="0.2">
      <c r="A479" s="944">
        <v>39035117400</v>
      </c>
      <c r="B479" s="239" t="s">
        <v>497</v>
      </c>
      <c r="C479" s="286" t="s">
        <v>4330</v>
      </c>
      <c r="D479" s="865" t="s">
        <v>4330</v>
      </c>
      <c r="E479" s="287" t="s">
        <v>3557</v>
      </c>
      <c r="F479" s="287" t="s">
        <v>3559</v>
      </c>
      <c r="G479" s="288" t="s">
        <v>3553</v>
      </c>
      <c r="H479" s="287">
        <v>44110</v>
      </c>
      <c r="I479" s="287" t="s">
        <v>2975</v>
      </c>
      <c r="J479" s="759"/>
    </row>
    <row r="480" spans="1:10" x14ac:dyDescent="0.2">
      <c r="A480" s="944">
        <v>39035117500</v>
      </c>
      <c r="B480" s="239" t="s">
        <v>498</v>
      </c>
      <c r="C480" s="286" t="s">
        <v>4330</v>
      </c>
      <c r="D480" s="865" t="s">
        <v>4330</v>
      </c>
      <c r="E480" s="287" t="s">
        <v>3557</v>
      </c>
      <c r="F480" s="287" t="s">
        <v>5176</v>
      </c>
      <c r="G480" s="288" t="s">
        <v>3553</v>
      </c>
      <c r="H480" s="287">
        <v>44111</v>
      </c>
      <c r="I480" s="287" t="s">
        <v>2975</v>
      </c>
      <c r="J480" s="759"/>
    </row>
    <row r="481" spans="1:10" x14ac:dyDescent="0.2">
      <c r="A481" s="944">
        <v>39035117600</v>
      </c>
      <c r="B481" s="239" t="s">
        <v>499</v>
      </c>
      <c r="C481" s="286" t="s">
        <v>2975</v>
      </c>
      <c r="D481" s="865" t="s">
        <v>2975</v>
      </c>
      <c r="E481" s="287" t="s">
        <v>3566</v>
      </c>
      <c r="F481" s="287" t="s">
        <v>5176</v>
      </c>
      <c r="G481" s="288" t="s">
        <v>3553</v>
      </c>
      <c r="H481" s="287">
        <v>44112</v>
      </c>
      <c r="I481" s="287" t="s">
        <v>2975</v>
      </c>
      <c r="J481" s="759"/>
    </row>
    <row r="482" spans="1:10" x14ac:dyDescent="0.2">
      <c r="A482" s="944">
        <v>39035117700</v>
      </c>
      <c r="B482" s="239" t="s">
        <v>500</v>
      </c>
      <c r="C482" s="286" t="s">
        <v>4330</v>
      </c>
      <c r="D482" s="865" t="s">
        <v>4330</v>
      </c>
      <c r="E482" s="287" t="s">
        <v>3563</v>
      </c>
      <c r="F482" s="287" t="s">
        <v>5176</v>
      </c>
      <c r="G482" s="288" t="s">
        <v>3553</v>
      </c>
      <c r="H482" s="287">
        <v>44113</v>
      </c>
      <c r="I482" s="287" t="s">
        <v>2975</v>
      </c>
      <c r="J482" s="759"/>
    </row>
    <row r="483" spans="1:10" x14ac:dyDescent="0.2">
      <c r="A483" s="944">
        <v>39035117800</v>
      </c>
      <c r="B483" s="239" t="s">
        <v>501</v>
      </c>
      <c r="C483" s="286" t="s">
        <v>4330</v>
      </c>
      <c r="D483" s="865" t="s">
        <v>4330</v>
      </c>
      <c r="E483" s="287" t="s">
        <v>3557</v>
      </c>
      <c r="F483" s="287" t="s">
        <v>3558</v>
      </c>
      <c r="G483" s="288" t="s">
        <v>3553</v>
      </c>
      <c r="H483" s="287">
        <v>44114</v>
      </c>
      <c r="I483" s="287" t="s">
        <v>2975</v>
      </c>
      <c r="J483" s="759"/>
    </row>
    <row r="484" spans="1:10" x14ac:dyDescent="0.2">
      <c r="A484" s="944">
        <v>39035117900</v>
      </c>
      <c r="B484" s="239" t="s">
        <v>502</v>
      </c>
      <c r="C484" s="286" t="s">
        <v>4330</v>
      </c>
      <c r="D484" s="865" t="s">
        <v>4330</v>
      </c>
      <c r="E484" s="287" t="s">
        <v>3564</v>
      </c>
      <c r="F484" s="287" t="s">
        <v>5176</v>
      </c>
      <c r="G484" s="288" t="s">
        <v>3553</v>
      </c>
      <c r="H484" s="287">
        <v>44115</v>
      </c>
      <c r="I484" s="287" t="s">
        <v>2975</v>
      </c>
      <c r="J484" s="759"/>
    </row>
    <row r="485" spans="1:10" x14ac:dyDescent="0.2">
      <c r="A485" s="944">
        <v>39035118101</v>
      </c>
      <c r="B485" s="239" t="s">
        <v>503</v>
      </c>
      <c r="C485" s="286" t="s">
        <v>4330</v>
      </c>
      <c r="D485" s="865" t="s">
        <v>4330</v>
      </c>
      <c r="E485" s="287" t="s">
        <v>3566</v>
      </c>
      <c r="F485" s="287" t="s">
        <v>3561</v>
      </c>
      <c r="G485" s="288" t="s">
        <v>3553</v>
      </c>
      <c r="H485" s="287">
        <v>44116</v>
      </c>
      <c r="I485" s="287" t="s">
        <v>2975</v>
      </c>
      <c r="J485" s="759"/>
    </row>
    <row r="486" spans="1:10" x14ac:dyDescent="0.2">
      <c r="A486" s="944">
        <v>39035118200</v>
      </c>
      <c r="B486" s="239" t="s">
        <v>504</v>
      </c>
      <c r="C486" s="286" t="s">
        <v>4330</v>
      </c>
      <c r="D486" s="865" t="s">
        <v>4330</v>
      </c>
      <c r="E486" s="287" t="s">
        <v>3564</v>
      </c>
      <c r="F486" s="287" t="s">
        <v>3559</v>
      </c>
      <c r="G486" s="288" t="s">
        <v>3553</v>
      </c>
      <c r="H486" s="287">
        <v>44117</v>
      </c>
      <c r="I486" s="287" t="s">
        <v>2975</v>
      </c>
      <c r="J486" s="759"/>
    </row>
    <row r="487" spans="1:10" x14ac:dyDescent="0.2">
      <c r="A487" s="944">
        <v>39035118301</v>
      </c>
      <c r="B487" s="239" t="s">
        <v>505</v>
      </c>
      <c r="C487" s="286" t="s">
        <v>4330</v>
      </c>
      <c r="D487" s="865" t="s">
        <v>4330</v>
      </c>
      <c r="E487" s="287" t="s">
        <v>3566</v>
      </c>
      <c r="F487" s="287" t="s">
        <v>5177</v>
      </c>
      <c r="G487" s="288" t="s">
        <v>3553</v>
      </c>
      <c r="H487" s="287">
        <v>44118</v>
      </c>
      <c r="I487" s="287" t="s">
        <v>2975</v>
      </c>
      <c r="J487" s="759"/>
    </row>
    <row r="488" spans="1:10" x14ac:dyDescent="0.2">
      <c r="A488" s="944">
        <v>39035118400</v>
      </c>
      <c r="B488" s="239" t="s">
        <v>506</v>
      </c>
      <c r="C488" s="286" t="s">
        <v>4330</v>
      </c>
      <c r="D488" s="865" t="s">
        <v>4330</v>
      </c>
      <c r="E488" s="287" t="s">
        <v>3564</v>
      </c>
      <c r="F488" s="287" t="s">
        <v>5176</v>
      </c>
      <c r="G488" s="288" t="s">
        <v>3553</v>
      </c>
      <c r="H488" s="287">
        <v>44119</v>
      </c>
      <c r="I488" s="287" t="s">
        <v>2975</v>
      </c>
      <c r="J488" s="759"/>
    </row>
    <row r="489" spans="1:10" x14ac:dyDescent="0.2">
      <c r="A489" s="944">
        <v>39035118500</v>
      </c>
      <c r="B489" s="239" t="s">
        <v>507</v>
      </c>
      <c r="C489" s="286" t="s">
        <v>4330</v>
      </c>
      <c r="D489" s="865" t="s">
        <v>4330</v>
      </c>
      <c r="E489" s="287" t="s">
        <v>3564</v>
      </c>
      <c r="F489" s="287" t="s">
        <v>3560</v>
      </c>
      <c r="G489" s="288" t="s">
        <v>3553</v>
      </c>
      <c r="H489" s="287">
        <v>44120</v>
      </c>
      <c r="I489" s="287" t="s">
        <v>2975</v>
      </c>
      <c r="J489" s="759"/>
    </row>
    <row r="490" spans="1:10" x14ac:dyDescent="0.2">
      <c r="A490" s="944">
        <v>39035118602</v>
      </c>
      <c r="B490" s="239" t="s">
        <v>508</v>
      </c>
      <c r="C490" s="286" t="s">
        <v>4330</v>
      </c>
      <c r="D490" s="865" t="s">
        <v>4330</v>
      </c>
      <c r="E490" s="287" t="s">
        <v>3557</v>
      </c>
      <c r="F490" s="287" t="s">
        <v>3559</v>
      </c>
      <c r="G490" s="288" t="s">
        <v>3553</v>
      </c>
      <c r="H490" s="287">
        <v>44121</v>
      </c>
      <c r="I490" s="287" t="s">
        <v>2975</v>
      </c>
      <c r="J490" s="759"/>
    </row>
    <row r="491" spans="1:10" x14ac:dyDescent="0.2">
      <c r="A491" s="944">
        <v>39035118700</v>
      </c>
      <c r="B491" s="239" t="s">
        <v>509</v>
      </c>
      <c r="C491" s="286" t="s">
        <v>4330</v>
      </c>
      <c r="D491" s="865" t="s">
        <v>4330</v>
      </c>
      <c r="E491" s="287" t="s">
        <v>3562</v>
      </c>
      <c r="F491" s="287" t="s">
        <v>3565</v>
      </c>
      <c r="G491" s="288" t="s">
        <v>3553</v>
      </c>
      <c r="H491" s="287">
        <v>44122</v>
      </c>
      <c r="I491" s="287" t="s">
        <v>2975</v>
      </c>
      <c r="J491" s="759"/>
    </row>
    <row r="492" spans="1:10" x14ac:dyDescent="0.2">
      <c r="A492" s="944">
        <v>39035118800</v>
      </c>
      <c r="B492" s="239" t="s">
        <v>510</v>
      </c>
      <c r="C492" s="286" t="s">
        <v>4330</v>
      </c>
      <c r="D492" s="865" t="s">
        <v>4330</v>
      </c>
      <c r="E492" s="287" t="s">
        <v>3562</v>
      </c>
      <c r="F492" s="287" t="s">
        <v>3559</v>
      </c>
      <c r="G492" s="288" t="s">
        <v>3553</v>
      </c>
      <c r="H492" s="287">
        <v>44123</v>
      </c>
      <c r="I492" s="287" t="s">
        <v>2975</v>
      </c>
      <c r="J492" s="759"/>
    </row>
    <row r="493" spans="1:10" x14ac:dyDescent="0.2">
      <c r="A493" s="944">
        <v>39035118900</v>
      </c>
      <c r="B493" s="239" t="s">
        <v>511</v>
      </c>
      <c r="C493" s="286" t="s">
        <v>4330</v>
      </c>
      <c r="D493" s="865" t="s">
        <v>4330</v>
      </c>
      <c r="E493" s="287" t="s">
        <v>3563</v>
      </c>
      <c r="F493" s="287" t="s">
        <v>3558</v>
      </c>
      <c r="G493" s="288" t="s">
        <v>3553</v>
      </c>
      <c r="H493" s="287">
        <v>44124</v>
      </c>
      <c r="I493" s="287" t="s">
        <v>2975</v>
      </c>
      <c r="J493" s="759"/>
    </row>
    <row r="494" spans="1:10" x14ac:dyDescent="0.2">
      <c r="A494" s="944">
        <v>39035119100</v>
      </c>
      <c r="B494" s="239" t="s">
        <v>512</v>
      </c>
      <c r="C494" s="286" t="s">
        <v>2975</v>
      </c>
      <c r="D494" s="865" t="s">
        <v>2975</v>
      </c>
      <c r="E494" s="287" t="s">
        <v>3562</v>
      </c>
      <c r="F494" s="287" t="s">
        <v>3565</v>
      </c>
      <c r="G494" s="288" t="s">
        <v>3553</v>
      </c>
      <c r="H494" s="287">
        <v>44125</v>
      </c>
      <c r="I494" s="287" t="s">
        <v>2975</v>
      </c>
      <c r="J494" s="759"/>
    </row>
    <row r="495" spans="1:10" x14ac:dyDescent="0.2">
      <c r="A495" s="944">
        <v>39035119202</v>
      </c>
      <c r="B495" s="239" t="s">
        <v>513</v>
      </c>
      <c r="C495" s="286" t="s">
        <v>4330</v>
      </c>
      <c r="D495" s="865" t="s">
        <v>4330</v>
      </c>
      <c r="E495" s="287" t="s">
        <v>3566</v>
      </c>
      <c r="F495" s="287" t="s">
        <v>3559</v>
      </c>
      <c r="G495" s="288" t="s">
        <v>3553</v>
      </c>
      <c r="H495" s="287">
        <v>44126</v>
      </c>
      <c r="I495" s="287" t="s">
        <v>2975</v>
      </c>
      <c r="J495" s="759"/>
    </row>
    <row r="496" spans="1:10" x14ac:dyDescent="0.2">
      <c r="A496" s="944">
        <v>39035119300</v>
      </c>
      <c r="B496" s="239" t="s">
        <v>514</v>
      </c>
      <c r="C496" s="286" t="s">
        <v>4330</v>
      </c>
      <c r="D496" s="865" t="s">
        <v>4330</v>
      </c>
      <c r="E496" s="287" t="s">
        <v>3557</v>
      </c>
      <c r="F496" s="287" t="s">
        <v>3559</v>
      </c>
      <c r="G496" s="288" t="s">
        <v>3553</v>
      </c>
      <c r="H496" s="287">
        <v>44127</v>
      </c>
      <c r="I496" s="287" t="s">
        <v>2975</v>
      </c>
      <c r="J496" s="759"/>
    </row>
    <row r="497" spans="1:10" x14ac:dyDescent="0.2">
      <c r="A497" s="944">
        <v>39035119401</v>
      </c>
      <c r="B497" s="239" t="s">
        <v>515</v>
      </c>
      <c r="C497" s="286" t="s">
        <v>2975</v>
      </c>
      <c r="D497" s="865" t="s">
        <v>2975</v>
      </c>
      <c r="E497" s="287" t="s">
        <v>3563</v>
      </c>
      <c r="F497" s="287" t="s">
        <v>3559</v>
      </c>
      <c r="G497" s="288" t="s">
        <v>3553</v>
      </c>
      <c r="H497" s="287">
        <v>44128</v>
      </c>
      <c r="I497" s="287" t="s">
        <v>2975</v>
      </c>
      <c r="J497" s="759"/>
    </row>
    <row r="498" spans="1:10" x14ac:dyDescent="0.2">
      <c r="A498" s="944">
        <v>39035119402</v>
      </c>
      <c r="B498" s="239" t="s">
        <v>516</v>
      </c>
      <c r="C498" s="286" t="s">
        <v>4330</v>
      </c>
      <c r="D498" s="865" t="s">
        <v>4330</v>
      </c>
      <c r="E498" s="287" t="s">
        <v>3557</v>
      </c>
      <c r="F498" s="287" t="s">
        <v>3565</v>
      </c>
      <c r="G498" s="288" t="s">
        <v>3553</v>
      </c>
      <c r="H498" s="287">
        <v>44129</v>
      </c>
      <c r="I498" s="287" t="s">
        <v>2975</v>
      </c>
      <c r="J498" s="759"/>
    </row>
    <row r="499" spans="1:10" x14ac:dyDescent="0.2">
      <c r="A499" s="944">
        <v>39035119501</v>
      </c>
      <c r="B499" s="239" t="s">
        <v>517</v>
      </c>
      <c r="C499" s="286" t="s">
        <v>2975</v>
      </c>
      <c r="D499" s="865" t="s">
        <v>2975</v>
      </c>
      <c r="E499" s="287" t="s">
        <v>3562</v>
      </c>
      <c r="F499" s="287" t="s">
        <v>3565</v>
      </c>
      <c r="G499" s="288" t="s">
        <v>3553</v>
      </c>
      <c r="H499" s="287">
        <v>44130</v>
      </c>
      <c r="I499" s="287" t="s">
        <v>2975</v>
      </c>
      <c r="J499" s="759"/>
    </row>
    <row r="500" spans="1:10" x14ac:dyDescent="0.2">
      <c r="A500" s="944">
        <v>39035119502</v>
      </c>
      <c r="B500" s="239" t="s">
        <v>518</v>
      </c>
      <c r="C500" s="286" t="s">
        <v>4330</v>
      </c>
      <c r="D500" s="865" t="s">
        <v>4330</v>
      </c>
      <c r="E500" s="287" t="s">
        <v>3566</v>
      </c>
      <c r="F500" s="287" t="s">
        <v>5176</v>
      </c>
      <c r="G500" s="288" t="s">
        <v>3553</v>
      </c>
      <c r="H500" s="287">
        <v>44131</v>
      </c>
      <c r="I500" s="287" t="s">
        <v>2975</v>
      </c>
      <c r="J500" s="759"/>
    </row>
    <row r="501" spans="1:10" x14ac:dyDescent="0.2">
      <c r="A501" s="944">
        <v>39035119600</v>
      </c>
      <c r="B501" s="239" t="s">
        <v>519</v>
      </c>
      <c r="C501" s="286" t="s">
        <v>4330</v>
      </c>
      <c r="D501" s="865" t="s">
        <v>4330</v>
      </c>
      <c r="E501" s="287" t="s">
        <v>3564</v>
      </c>
      <c r="F501" s="287" t="s">
        <v>5177</v>
      </c>
      <c r="G501" s="288" t="s">
        <v>3553</v>
      </c>
      <c r="H501" s="287">
        <v>44132</v>
      </c>
      <c r="I501" s="287" t="s">
        <v>2975</v>
      </c>
      <c r="J501" s="759"/>
    </row>
    <row r="502" spans="1:10" x14ac:dyDescent="0.2">
      <c r="A502" s="944">
        <v>39035119701</v>
      </c>
      <c r="B502" s="239" t="s">
        <v>520</v>
      </c>
      <c r="C502" s="286" t="s">
        <v>4330</v>
      </c>
      <c r="D502" s="865" t="s">
        <v>4330</v>
      </c>
      <c r="E502" s="287" t="s">
        <v>3566</v>
      </c>
      <c r="F502" s="287" t="s">
        <v>3559</v>
      </c>
      <c r="G502" s="288" t="s">
        <v>3553</v>
      </c>
      <c r="H502" s="287">
        <v>44133</v>
      </c>
      <c r="I502" s="287" t="s">
        <v>2975</v>
      </c>
      <c r="J502" s="759"/>
    </row>
    <row r="503" spans="1:10" x14ac:dyDescent="0.2">
      <c r="A503" s="944">
        <v>39035119702</v>
      </c>
      <c r="B503" s="239" t="s">
        <v>521</v>
      </c>
      <c r="C503" s="286" t="s">
        <v>4330</v>
      </c>
      <c r="D503" s="865" t="s">
        <v>4330</v>
      </c>
      <c r="E503" s="287" t="s">
        <v>3557</v>
      </c>
      <c r="F503" s="287" t="s">
        <v>5177</v>
      </c>
      <c r="G503" s="288" t="s">
        <v>3553</v>
      </c>
      <c r="H503" s="287">
        <v>44134</v>
      </c>
      <c r="I503" s="287" t="s">
        <v>2975</v>
      </c>
      <c r="J503" s="759"/>
    </row>
    <row r="504" spans="1:10" x14ac:dyDescent="0.2">
      <c r="A504" s="944">
        <v>39035119800</v>
      </c>
      <c r="B504" s="239" t="s">
        <v>522</v>
      </c>
      <c r="C504" s="286" t="s">
        <v>4330</v>
      </c>
      <c r="D504" s="865" t="s">
        <v>4330</v>
      </c>
      <c r="E504" s="287" t="s">
        <v>3564</v>
      </c>
      <c r="F504" s="287" t="s">
        <v>3561</v>
      </c>
      <c r="G504" s="288" t="s">
        <v>3553</v>
      </c>
      <c r="H504" s="287">
        <v>44135</v>
      </c>
      <c r="I504" s="287" t="s">
        <v>2975</v>
      </c>
      <c r="J504" s="759"/>
    </row>
    <row r="505" spans="1:10" x14ac:dyDescent="0.2">
      <c r="A505" s="944">
        <v>39035119900</v>
      </c>
      <c r="B505" s="239" t="s">
        <v>523</v>
      </c>
      <c r="C505" s="286" t="s">
        <v>4330</v>
      </c>
      <c r="D505" s="865" t="s">
        <v>4330</v>
      </c>
      <c r="E505" s="287" t="s">
        <v>3557</v>
      </c>
      <c r="F505" s="287" t="s">
        <v>5176</v>
      </c>
      <c r="G505" s="288" t="s">
        <v>3553</v>
      </c>
      <c r="H505" s="287">
        <v>44136</v>
      </c>
      <c r="I505" s="287" t="s">
        <v>2975</v>
      </c>
      <c r="J505" s="759"/>
    </row>
    <row r="506" spans="1:10" x14ac:dyDescent="0.2">
      <c r="A506" s="944">
        <v>39035120200</v>
      </c>
      <c r="B506" s="239" t="s">
        <v>524</v>
      </c>
      <c r="C506" s="286" t="s">
        <v>4330</v>
      </c>
      <c r="D506" s="865" t="s">
        <v>4330</v>
      </c>
      <c r="E506" s="287" t="s">
        <v>3557</v>
      </c>
      <c r="F506" s="287" t="s">
        <v>5177</v>
      </c>
      <c r="G506" s="288" t="s">
        <v>3553</v>
      </c>
      <c r="H506" s="287">
        <v>44137</v>
      </c>
      <c r="I506" s="287" t="s">
        <v>2975</v>
      </c>
      <c r="J506" s="759"/>
    </row>
    <row r="507" spans="1:10" x14ac:dyDescent="0.2">
      <c r="A507" s="944">
        <v>39035120400</v>
      </c>
      <c r="B507" s="239" t="s">
        <v>525</v>
      </c>
      <c r="C507" s="286" t="s">
        <v>4330</v>
      </c>
      <c r="D507" s="865" t="s">
        <v>4330</v>
      </c>
      <c r="E507" s="287" t="s">
        <v>3557</v>
      </c>
      <c r="F507" s="287" t="s">
        <v>5176</v>
      </c>
      <c r="G507" s="288" t="s">
        <v>3553</v>
      </c>
      <c r="H507" s="287">
        <v>44138</v>
      </c>
      <c r="I507" s="287" t="s">
        <v>2975</v>
      </c>
      <c r="J507" s="759"/>
    </row>
    <row r="508" spans="1:10" x14ac:dyDescent="0.2">
      <c r="A508" s="944">
        <v>39035120500</v>
      </c>
      <c r="B508" s="239" t="s">
        <v>526</v>
      </c>
      <c r="C508" s="286" t="s">
        <v>4330</v>
      </c>
      <c r="D508" s="865" t="s">
        <v>4330</v>
      </c>
      <c r="E508" s="287" t="s">
        <v>3557</v>
      </c>
      <c r="F508" s="287" t="s">
        <v>5176</v>
      </c>
      <c r="G508" s="288" t="s">
        <v>3553</v>
      </c>
      <c r="H508" s="287">
        <v>44139</v>
      </c>
      <c r="I508" s="287" t="s">
        <v>2975</v>
      </c>
      <c r="J508" s="759"/>
    </row>
    <row r="509" spans="1:10" x14ac:dyDescent="0.2">
      <c r="A509" s="944">
        <v>39035120600</v>
      </c>
      <c r="B509" s="239" t="s">
        <v>527</v>
      </c>
      <c r="C509" s="286" t="s">
        <v>4330</v>
      </c>
      <c r="D509" s="865" t="s">
        <v>4330</v>
      </c>
      <c r="E509" s="287" t="s">
        <v>3557</v>
      </c>
      <c r="F509" s="287" t="s">
        <v>3560</v>
      </c>
      <c r="G509" s="288" t="s">
        <v>3553</v>
      </c>
      <c r="H509" s="287">
        <v>44140</v>
      </c>
      <c r="I509" s="287" t="s">
        <v>2975</v>
      </c>
      <c r="J509" s="759"/>
    </row>
    <row r="510" spans="1:10" x14ac:dyDescent="0.2">
      <c r="A510" s="944">
        <v>39035120701</v>
      </c>
      <c r="B510" s="239" t="s">
        <v>528</v>
      </c>
      <c r="C510" s="286" t="s">
        <v>4330</v>
      </c>
      <c r="D510" s="865" t="s">
        <v>4330</v>
      </c>
      <c r="E510" s="287" t="s">
        <v>3557</v>
      </c>
      <c r="F510" s="287" t="s">
        <v>3559</v>
      </c>
      <c r="G510" s="288" t="s">
        <v>3553</v>
      </c>
      <c r="H510" s="287">
        <v>44142</v>
      </c>
      <c r="I510" s="287" t="s">
        <v>2975</v>
      </c>
      <c r="J510" s="759"/>
    </row>
    <row r="511" spans="1:10" x14ac:dyDescent="0.2">
      <c r="A511" s="944">
        <v>39035120702</v>
      </c>
      <c r="B511" s="239" t="s">
        <v>529</v>
      </c>
      <c r="C511" s="286" t="s">
        <v>4330</v>
      </c>
      <c r="D511" s="865" t="s">
        <v>4330</v>
      </c>
      <c r="E511" s="287" t="s">
        <v>3564</v>
      </c>
      <c r="F511" s="287" t="s">
        <v>3558</v>
      </c>
      <c r="G511" s="288" t="s">
        <v>3553</v>
      </c>
      <c r="H511" s="287">
        <v>44143</v>
      </c>
      <c r="I511" s="287" t="s">
        <v>2975</v>
      </c>
      <c r="J511" s="759"/>
    </row>
    <row r="512" spans="1:10" x14ac:dyDescent="0.2">
      <c r="A512" s="944">
        <v>39035120801</v>
      </c>
      <c r="B512" s="239" t="s">
        <v>530</v>
      </c>
      <c r="C512" s="286" t="s">
        <v>4330</v>
      </c>
      <c r="D512" s="865" t="s">
        <v>4330</v>
      </c>
      <c r="E512" s="287" t="s">
        <v>3564</v>
      </c>
      <c r="F512" s="287" t="s">
        <v>3565</v>
      </c>
      <c r="G512" s="288" t="s">
        <v>3553</v>
      </c>
      <c r="H512" s="287">
        <v>44144</v>
      </c>
      <c r="I512" s="287" t="s">
        <v>2975</v>
      </c>
      <c r="J512" s="759"/>
    </row>
    <row r="513" spans="1:10" x14ac:dyDescent="0.2">
      <c r="A513" s="944">
        <v>39035120802</v>
      </c>
      <c r="B513" s="239" t="s">
        <v>531</v>
      </c>
      <c r="C513" s="286" t="s">
        <v>4330</v>
      </c>
      <c r="D513" s="865" t="s">
        <v>4330</v>
      </c>
      <c r="E513" s="287" t="s">
        <v>3564</v>
      </c>
      <c r="F513" s="287" t="s">
        <v>3565</v>
      </c>
      <c r="G513" s="288" t="s">
        <v>3553</v>
      </c>
      <c r="H513" s="287">
        <v>44145</v>
      </c>
      <c r="I513" s="287" t="s">
        <v>2975</v>
      </c>
      <c r="J513" s="759"/>
    </row>
    <row r="514" spans="1:10" x14ac:dyDescent="0.2">
      <c r="A514" s="944">
        <v>39035121100</v>
      </c>
      <c r="B514" s="239" t="s">
        <v>532</v>
      </c>
      <c r="C514" s="286" t="s">
        <v>4330</v>
      </c>
      <c r="D514" s="865" t="s">
        <v>4330</v>
      </c>
      <c r="E514" s="287" t="s">
        <v>3557</v>
      </c>
      <c r="F514" s="287" t="s">
        <v>3565</v>
      </c>
      <c r="G514" s="288" t="s">
        <v>3553</v>
      </c>
      <c r="H514" s="287">
        <v>44146</v>
      </c>
      <c r="I514" s="287" t="s">
        <v>2975</v>
      </c>
      <c r="J514" s="759"/>
    </row>
    <row r="515" spans="1:10" x14ac:dyDescent="0.2">
      <c r="A515" s="944">
        <v>39035121200</v>
      </c>
      <c r="B515" s="239" t="s">
        <v>533</v>
      </c>
      <c r="C515" s="286" t="s">
        <v>4330</v>
      </c>
      <c r="D515" s="865" t="s">
        <v>4330</v>
      </c>
      <c r="E515" s="287" t="s">
        <v>3564</v>
      </c>
      <c r="F515" s="287" t="s">
        <v>5177</v>
      </c>
      <c r="G515" s="288" t="s">
        <v>3553</v>
      </c>
      <c r="H515" s="287">
        <v>44147</v>
      </c>
      <c r="I515" s="287" t="s">
        <v>2975</v>
      </c>
      <c r="J515" s="759"/>
    </row>
    <row r="516" spans="1:10" x14ac:dyDescent="0.2">
      <c r="A516" s="944">
        <v>39035121300</v>
      </c>
      <c r="B516" s="239" t="s">
        <v>534</v>
      </c>
      <c r="C516" s="286" t="s">
        <v>4330</v>
      </c>
      <c r="D516" s="865" t="s">
        <v>4330</v>
      </c>
      <c r="E516" s="287" t="s">
        <v>3557</v>
      </c>
      <c r="F516" s="287" t="s">
        <v>3565</v>
      </c>
      <c r="G516" s="288" t="s">
        <v>3553</v>
      </c>
      <c r="H516" s="287">
        <v>44149</v>
      </c>
      <c r="I516" s="287" t="s">
        <v>2975</v>
      </c>
      <c r="J516" s="759"/>
    </row>
    <row r="517" spans="1:10" x14ac:dyDescent="0.2">
      <c r="A517" s="944">
        <v>39035121401</v>
      </c>
      <c r="B517" s="239" t="s">
        <v>535</v>
      </c>
      <c r="C517" s="286" t="s">
        <v>4330</v>
      </c>
      <c r="D517" s="865" t="s">
        <v>4330</v>
      </c>
      <c r="E517" s="287" t="s">
        <v>3557</v>
      </c>
      <c r="F517" s="287" t="s">
        <v>3565</v>
      </c>
      <c r="G517" s="288" t="s">
        <v>3553</v>
      </c>
      <c r="H517" s="287">
        <v>44201</v>
      </c>
      <c r="I517" s="287" t="s">
        <v>2975</v>
      </c>
      <c r="J517" s="759"/>
    </row>
    <row r="518" spans="1:10" x14ac:dyDescent="0.2">
      <c r="A518" s="944">
        <v>39035121403</v>
      </c>
      <c r="B518" s="239" t="s">
        <v>536</v>
      </c>
      <c r="C518" s="286" t="s">
        <v>4330</v>
      </c>
      <c r="D518" s="865" t="s">
        <v>4330</v>
      </c>
      <c r="E518" s="287" t="s">
        <v>3566</v>
      </c>
      <c r="F518" s="287" t="s">
        <v>5177</v>
      </c>
      <c r="G518" s="288" t="s">
        <v>3553</v>
      </c>
      <c r="H518" s="287">
        <v>44203</v>
      </c>
      <c r="I518" s="287" t="s">
        <v>2975</v>
      </c>
      <c r="J518" s="759"/>
    </row>
    <row r="519" spans="1:10" x14ac:dyDescent="0.2">
      <c r="A519" s="944">
        <v>39035121500</v>
      </c>
      <c r="B519" s="239" t="s">
        <v>537</v>
      </c>
      <c r="C519" s="286" t="s">
        <v>4330</v>
      </c>
      <c r="D519" s="865" t="s">
        <v>4330</v>
      </c>
      <c r="E519" s="287" t="s">
        <v>3564</v>
      </c>
      <c r="F519" s="287" t="s">
        <v>5176</v>
      </c>
      <c r="G519" s="288" t="s">
        <v>3553</v>
      </c>
      <c r="H519" s="287">
        <v>44212</v>
      </c>
      <c r="I519" s="287" t="s">
        <v>2975</v>
      </c>
      <c r="J519" s="759"/>
    </row>
    <row r="520" spans="1:10" x14ac:dyDescent="0.2">
      <c r="A520" s="944">
        <v>39035121700</v>
      </c>
      <c r="B520" s="239" t="s">
        <v>538</v>
      </c>
      <c r="C520" s="286" t="s">
        <v>2975</v>
      </c>
      <c r="D520" s="865" t="s">
        <v>2975</v>
      </c>
      <c r="E520" s="287" t="s">
        <v>3566</v>
      </c>
      <c r="F520" s="287" t="s">
        <v>3565</v>
      </c>
      <c r="G520" s="288" t="s">
        <v>3553</v>
      </c>
      <c r="H520" s="287">
        <v>44214</v>
      </c>
      <c r="I520" s="287" t="s">
        <v>2975</v>
      </c>
      <c r="J520" s="759"/>
    </row>
    <row r="521" spans="1:10" x14ac:dyDescent="0.2">
      <c r="A521" s="944">
        <v>39035121800</v>
      </c>
      <c r="B521" s="239" t="s">
        <v>539</v>
      </c>
      <c r="C521" s="286" t="s">
        <v>2975</v>
      </c>
      <c r="D521" s="865" t="s">
        <v>2975</v>
      </c>
      <c r="E521" s="287" t="s">
        <v>3566</v>
      </c>
      <c r="F521" s="287" t="s">
        <v>5177</v>
      </c>
      <c r="G521" s="288" t="s">
        <v>3553</v>
      </c>
      <c r="H521" s="287">
        <v>44215</v>
      </c>
      <c r="I521" s="287" t="s">
        <v>2975</v>
      </c>
      <c r="J521" s="759"/>
    </row>
    <row r="522" spans="1:10" x14ac:dyDescent="0.2">
      <c r="A522" s="944">
        <v>39035121900</v>
      </c>
      <c r="B522" s="239" t="s">
        <v>540</v>
      </c>
      <c r="C522" s="286" t="s">
        <v>4330</v>
      </c>
      <c r="D522" s="865" t="s">
        <v>4330</v>
      </c>
      <c r="E522" s="287" t="s">
        <v>3564</v>
      </c>
      <c r="F522" s="287" t="s">
        <v>5176</v>
      </c>
      <c r="G522" s="288" t="s">
        <v>3553</v>
      </c>
      <c r="H522" s="287">
        <v>44216</v>
      </c>
      <c r="I522" s="287" t="s">
        <v>2975</v>
      </c>
      <c r="J522" s="759"/>
    </row>
    <row r="523" spans="1:10" x14ac:dyDescent="0.2">
      <c r="A523" s="944">
        <v>39035122100</v>
      </c>
      <c r="B523" s="239" t="s">
        <v>541</v>
      </c>
      <c r="C523" s="286" t="s">
        <v>2975</v>
      </c>
      <c r="D523" s="865" t="s">
        <v>2975</v>
      </c>
      <c r="E523" s="287" t="s">
        <v>3557</v>
      </c>
      <c r="F523" s="287" t="s">
        <v>5177</v>
      </c>
      <c r="G523" s="288" t="s">
        <v>3569</v>
      </c>
      <c r="H523" s="287">
        <v>44217</v>
      </c>
      <c r="I523" s="287" t="s">
        <v>2975</v>
      </c>
      <c r="J523" s="759"/>
    </row>
    <row r="524" spans="1:10" x14ac:dyDescent="0.2">
      <c r="A524" s="944">
        <v>39035122200</v>
      </c>
      <c r="B524" s="239" t="s">
        <v>542</v>
      </c>
      <c r="C524" s="286" t="s">
        <v>4330</v>
      </c>
      <c r="D524" s="865" t="s">
        <v>4330</v>
      </c>
      <c r="E524" s="287" t="s">
        <v>3557</v>
      </c>
      <c r="F524" s="287" t="s">
        <v>5176</v>
      </c>
      <c r="G524" s="288" t="s">
        <v>3553</v>
      </c>
      <c r="H524" s="287">
        <v>44221</v>
      </c>
      <c r="I524" s="287" t="s">
        <v>2975</v>
      </c>
      <c r="J524" s="759"/>
    </row>
    <row r="525" spans="1:10" x14ac:dyDescent="0.2">
      <c r="A525" s="944">
        <v>39035122300</v>
      </c>
      <c r="B525" s="239" t="s">
        <v>543</v>
      </c>
      <c r="C525" s="286" t="s">
        <v>4330</v>
      </c>
      <c r="D525" s="865" t="s">
        <v>4330</v>
      </c>
      <c r="E525" s="287" t="s">
        <v>3557</v>
      </c>
      <c r="F525" s="287" t="s">
        <v>3565</v>
      </c>
      <c r="G525" s="288" t="s">
        <v>3569</v>
      </c>
      <c r="H525" s="287">
        <v>44223</v>
      </c>
      <c r="I525" s="287" t="s">
        <v>2975</v>
      </c>
      <c r="J525" s="759"/>
    </row>
    <row r="526" spans="1:10" x14ac:dyDescent="0.2">
      <c r="A526" s="944">
        <v>39035123100</v>
      </c>
      <c r="B526" s="239" t="s">
        <v>544</v>
      </c>
      <c r="C526" s="286" t="s">
        <v>2975</v>
      </c>
      <c r="D526" s="865" t="s">
        <v>2975</v>
      </c>
      <c r="E526" s="287" t="s">
        <v>3562</v>
      </c>
      <c r="F526" s="287" t="s">
        <v>3565</v>
      </c>
      <c r="G526" s="288" t="s">
        <v>3553</v>
      </c>
      <c r="H526" s="287">
        <v>44224</v>
      </c>
      <c r="I526" s="287" t="s">
        <v>2975</v>
      </c>
      <c r="J526" s="759"/>
    </row>
    <row r="527" spans="1:10" x14ac:dyDescent="0.2">
      <c r="A527" s="944">
        <v>39035123200</v>
      </c>
      <c r="B527" s="239" t="s">
        <v>545</v>
      </c>
      <c r="C527" s="286" t="s">
        <v>2975</v>
      </c>
      <c r="D527" s="865" t="s">
        <v>2975</v>
      </c>
      <c r="E527" s="287" t="s">
        <v>3562</v>
      </c>
      <c r="F527" s="287" t="s">
        <v>3558</v>
      </c>
      <c r="G527" s="288" t="s">
        <v>3553</v>
      </c>
      <c r="H527" s="287">
        <v>44230</v>
      </c>
      <c r="I527" s="287" t="s">
        <v>2975</v>
      </c>
      <c r="J527" s="759"/>
    </row>
    <row r="528" spans="1:10" x14ac:dyDescent="0.2">
      <c r="A528" s="944">
        <v>39035123400</v>
      </c>
      <c r="B528" s="239" t="s">
        <v>546</v>
      </c>
      <c r="C528" s="286" t="s">
        <v>2975</v>
      </c>
      <c r="D528" s="865" t="s">
        <v>2975</v>
      </c>
      <c r="E528" s="287" t="s">
        <v>3562</v>
      </c>
      <c r="F528" s="287" t="s">
        <v>5176</v>
      </c>
      <c r="G528" s="288" t="s">
        <v>3553</v>
      </c>
      <c r="H528" s="287">
        <v>44231</v>
      </c>
      <c r="I528" s="287" t="s">
        <v>2975</v>
      </c>
      <c r="J528" s="759"/>
    </row>
    <row r="529" spans="1:10" x14ac:dyDescent="0.2">
      <c r="A529" s="944">
        <v>39035123501</v>
      </c>
      <c r="B529" s="239" t="s">
        <v>547</v>
      </c>
      <c r="C529" s="286" t="s">
        <v>4330</v>
      </c>
      <c r="D529" s="865" t="s">
        <v>4330</v>
      </c>
      <c r="E529" s="287" t="s">
        <v>3566</v>
      </c>
      <c r="F529" s="287" t="s">
        <v>5176</v>
      </c>
      <c r="G529" s="288" t="s">
        <v>3553</v>
      </c>
      <c r="H529" s="287">
        <v>44233</v>
      </c>
      <c r="I529" s="287" t="s">
        <v>2975</v>
      </c>
      <c r="J529" s="759"/>
    </row>
    <row r="530" spans="1:10" x14ac:dyDescent="0.2">
      <c r="A530" s="944">
        <v>39035123502</v>
      </c>
      <c r="B530" s="239" t="s">
        <v>548</v>
      </c>
      <c r="C530" s="286" t="s">
        <v>2975</v>
      </c>
      <c r="D530" s="865" t="s">
        <v>2975</v>
      </c>
      <c r="E530" s="287" t="s">
        <v>3566</v>
      </c>
      <c r="F530" s="287" t="s">
        <v>3558</v>
      </c>
      <c r="G530" s="288" t="s">
        <v>3553</v>
      </c>
      <c r="H530" s="287">
        <v>44234</v>
      </c>
      <c r="I530" s="287" t="s">
        <v>2975</v>
      </c>
      <c r="J530" s="759"/>
    </row>
    <row r="531" spans="1:10" x14ac:dyDescent="0.2">
      <c r="A531" s="944">
        <v>39035123601</v>
      </c>
      <c r="B531" s="239" t="s">
        <v>549</v>
      </c>
      <c r="C531" s="286" t="s">
        <v>2975</v>
      </c>
      <c r="D531" s="865" t="s">
        <v>2975</v>
      </c>
      <c r="E531" s="287" t="s">
        <v>3562</v>
      </c>
      <c r="F531" s="287" t="s">
        <v>5176</v>
      </c>
      <c r="G531" s="288" t="s">
        <v>3553</v>
      </c>
      <c r="H531" s="287">
        <v>44235</v>
      </c>
      <c r="I531" s="287" t="s">
        <v>2975</v>
      </c>
      <c r="J531" s="759"/>
    </row>
    <row r="532" spans="1:10" x14ac:dyDescent="0.2">
      <c r="A532" s="944">
        <v>39035123602</v>
      </c>
      <c r="B532" s="239" t="s">
        <v>550</v>
      </c>
      <c r="C532" s="286" t="s">
        <v>2975</v>
      </c>
      <c r="D532" s="865" t="s">
        <v>2975</v>
      </c>
      <c r="E532" s="287" t="s">
        <v>3557</v>
      </c>
      <c r="F532" s="287" t="s">
        <v>5176</v>
      </c>
      <c r="G532" s="288" t="s">
        <v>3569</v>
      </c>
      <c r="H532" s="287">
        <v>44236</v>
      </c>
      <c r="I532" s="287" t="s">
        <v>2975</v>
      </c>
      <c r="J532" s="759"/>
    </row>
    <row r="533" spans="1:10" x14ac:dyDescent="0.2">
      <c r="A533" s="944">
        <v>39035123603</v>
      </c>
      <c r="B533" s="239" t="s">
        <v>551</v>
      </c>
      <c r="C533" s="286" t="s">
        <v>2975</v>
      </c>
      <c r="D533" s="865" t="s">
        <v>2975</v>
      </c>
      <c r="E533" s="287" t="s">
        <v>3562</v>
      </c>
      <c r="F533" s="287" t="s">
        <v>3559</v>
      </c>
      <c r="G533" s="288" t="s">
        <v>3553</v>
      </c>
      <c r="H533" s="287">
        <v>44240</v>
      </c>
      <c r="I533" s="287" t="s">
        <v>2975</v>
      </c>
      <c r="J533" s="759"/>
    </row>
    <row r="534" spans="1:10" x14ac:dyDescent="0.2">
      <c r="A534" s="944">
        <v>39035123700</v>
      </c>
      <c r="B534" s="239" t="s">
        <v>552</v>
      </c>
      <c r="C534" s="286" t="s">
        <v>2975</v>
      </c>
      <c r="D534" s="865" t="s">
        <v>2975</v>
      </c>
      <c r="E534" s="287" t="s">
        <v>3566</v>
      </c>
      <c r="F534" s="287" t="s">
        <v>3559</v>
      </c>
      <c r="G534" s="288" t="s">
        <v>3569</v>
      </c>
      <c r="H534" s="287">
        <v>44241</v>
      </c>
      <c r="I534" s="287" t="s">
        <v>2975</v>
      </c>
      <c r="J534" s="759"/>
    </row>
    <row r="535" spans="1:10" x14ac:dyDescent="0.2">
      <c r="A535" s="944">
        <v>39035123800</v>
      </c>
      <c r="B535" s="239" t="s">
        <v>553</v>
      </c>
      <c r="C535" s="286" t="s">
        <v>4330</v>
      </c>
      <c r="D535" s="865" t="s">
        <v>4330</v>
      </c>
      <c r="E535" s="287" t="s">
        <v>3557</v>
      </c>
      <c r="F535" s="287" t="s">
        <v>5176</v>
      </c>
      <c r="G535" s="288" t="s">
        <v>3553</v>
      </c>
      <c r="H535" s="287">
        <v>44243</v>
      </c>
      <c r="I535" s="287" t="s">
        <v>2975</v>
      </c>
      <c r="J535" s="759"/>
    </row>
    <row r="536" spans="1:10" x14ac:dyDescent="0.2">
      <c r="A536" s="944">
        <v>39035123900</v>
      </c>
      <c r="B536" s="239" t="s">
        <v>554</v>
      </c>
      <c r="C536" s="286" t="s">
        <v>2975</v>
      </c>
      <c r="D536" s="865" t="s">
        <v>2975</v>
      </c>
      <c r="E536" s="287" t="s">
        <v>3563</v>
      </c>
      <c r="F536" s="287" t="s">
        <v>3558</v>
      </c>
      <c r="G536" s="288" t="s">
        <v>3553</v>
      </c>
      <c r="H536" s="287">
        <v>44250</v>
      </c>
      <c r="I536" s="287" t="s">
        <v>2975</v>
      </c>
      <c r="J536" s="759"/>
    </row>
    <row r="537" spans="1:10" x14ac:dyDescent="0.2">
      <c r="A537" s="944">
        <v>39035124100</v>
      </c>
      <c r="B537" s="239" t="s">
        <v>555</v>
      </c>
      <c r="C537" s="286" t="s">
        <v>4330</v>
      </c>
      <c r="D537" s="865" t="s">
        <v>4330</v>
      </c>
      <c r="E537" s="287" t="s">
        <v>3563</v>
      </c>
      <c r="F537" s="287" t="s">
        <v>3558</v>
      </c>
      <c r="G537" s="288" t="s">
        <v>3553</v>
      </c>
      <c r="H537" s="287">
        <v>44251</v>
      </c>
      <c r="I537" s="287" t="s">
        <v>2975</v>
      </c>
      <c r="J537" s="759"/>
    </row>
    <row r="538" spans="1:10" x14ac:dyDescent="0.2">
      <c r="A538" s="944">
        <v>39035124201</v>
      </c>
      <c r="B538" s="239" t="s">
        <v>556</v>
      </c>
      <c r="C538" s="286" t="s">
        <v>2975</v>
      </c>
      <c r="D538" s="865" t="s">
        <v>2975</v>
      </c>
      <c r="E538" s="287" t="s">
        <v>3563</v>
      </c>
      <c r="F538" s="287" t="s">
        <v>5176</v>
      </c>
      <c r="G538" s="288" t="s">
        <v>3553</v>
      </c>
      <c r="H538" s="287">
        <v>44253</v>
      </c>
      <c r="I538" s="287" t="s">
        <v>2975</v>
      </c>
      <c r="J538" s="759"/>
    </row>
    <row r="539" spans="1:10" x14ac:dyDescent="0.2">
      <c r="A539" s="944">
        <v>39035124202</v>
      </c>
      <c r="B539" s="239" t="s">
        <v>557</v>
      </c>
      <c r="C539" s="286" t="s">
        <v>2975</v>
      </c>
      <c r="D539" s="865" t="s">
        <v>2975</v>
      </c>
      <c r="E539" s="287" t="s">
        <v>3566</v>
      </c>
      <c r="F539" s="287" t="s">
        <v>5176</v>
      </c>
      <c r="G539" s="288" t="s">
        <v>3553</v>
      </c>
      <c r="H539" s="287">
        <v>44254</v>
      </c>
      <c r="I539" s="287" t="s">
        <v>2975</v>
      </c>
      <c r="J539" s="759"/>
    </row>
    <row r="540" spans="1:10" x14ac:dyDescent="0.2">
      <c r="A540" s="944">
        <v>39035124300</v>
      </c>
      <c r="B540" s="239" t="s">
        <v>558</v>
      </c>
      <c r="C540" s="286" t="s">
        <v>4330</v>
      </c>
      <c r="D540" s="865" t="s">
        <v>2975</v>
      </c>
      <c r="E540" s="287" t="s">
        <v>3563</v>
      </c>
      <c r="F540" s="287" t="s">
        <v>5176</v>
      </c>
      <c r="G540" s="288" t="s">
        <v>3553</v>
      </c>
      <c r="H540" s="287">
        <v>44255</v>
      </c>
      <c r="I540" s="287" t="s">
        <v>2975</v>
      </c>
      <c r="J540" s="759"/>
    </row>
    <row r="541" spans="1:10" x14ac:dyDescent="0.2">
      <c r="A541" s="944">
        <v>39035124500</v>
      </c>
      <c r="B541" s="239" t="s">
        <v>559</v>
      </c>
      <c r="C541" s="286" t="s">
        <v>2975</v>
      </c>
      <c r="D541" s="865" t="s">
        <v>2975</v>
      </c>
      <c r="E541" s="287" t="s">
        <v>3564</v>
      </c>
      <c r="F541" s="287" t="s">
        <v>3565</v>
      </c>
      <c r="G541" s="288" t="s">
        <v>3569</v>
      </c>
      <c r="H541" s="287">
        <v>44256</v>
      </c>
      <c r="I541" s="287" t="s">
        <v>2975</v>
      </c>
      <c r="J541" s="759"/>
    </row>
    <row r="542" spans="1:10" x14ac:dyDescent="0.2">
      <c r="A542" s="944">
        <v>39035124600</v>
      </c>
      <c r="B542" s="239" t="s">
        <v>560</v>
      </c>
      <c r="C542" s="286" t="s">
        <v>4330</v>
      </c>
      <c r="D542" s="865" t="s">
        <v>4330</v>
      </c>
      <c r="E542" s="287" t="s">
        <v>3566</v>
      </c>
      <c r="F542" s="287" t="s">
        <v>5176</v>
      </c>
      <c r="G542" s="288" t="s">
        <v>3553</v>
      </c>
      <c r="H542" s="287">
        <v>44260</v>
      </c>
      <c r="I542" s="287" t="s">
        <v>2975</v>
      </c>
      <c r="J542" s="759"/>
    </row>
    <row r="543" spans="1:10" x14ac:dyDescent="0.2">
      <c r="A543" s="944">
        <v>39035126100</v>
      </c>
      <c r="B543" s="239" t="s">
        <v>561</v>
      </c>
      <c r="C543" s="286" t="s">
        <v>4330</v>
      </c>
      <c r="D543" s="865" t="s">
        <v>4330</v>
      </c>
      <c r="E543" s="287" t="s">
        <v>3564</v>
      </c>
      <c r="F543" s="287" t="s">
        <v>5176</v>
      </c>
      <c r="G543" s="288" t="s">
        <v>3553</v>
      </c>
      <c r="H543" s="287">
        <v>44262</v>
      </c>
      <c r="I543" s="287" t="s">
        <v>2975</v>
      </c>
      <c r="J543" s="759"/>
    </row>
    <row r="544" spans="1:10" x14ac:dyDescent="0.2">
      <c r="A544" s="944">
        <v>39035127501</v>
      </c>
      <c r="B544" s="239" t="s">
        <v>562</v>
      </c>
      <c r="C544" s="286" t="s">
        <v>4330</v>
      </c>
      <c r="D544" s="865" t="s">
        <v>4330</v>
      </c>
      <c r="E544" s="287" t="s">
        <v>3557</v>
      </c>
      <c r="F544" s="287" t="s">
        <v>3558</v>
      </c>
      <c r="G544" s="288" t="s">
        <v>3553</v>
      </c>
      <c r="H544" s="287">
        <v>44264</v>
      </c>
      <c r="I544" s="287" t="s">
        <v>2975</v>
      </c>
      <c r="J544" s="759"/>
    </row>
    <row r="545" spans="1:10" x14ac:dyDescent="0.2">
      <c r="A545" s="944">
        <v>39035130103</v>
      </c>
      <c r="B545" s="239" t="s">
        <v>563</v>
      </c>
      <c r="C545" s="286" t="s">
        <v>2975</v>
      </c>
      <c r="D545" s="865" t="s">
        <v>2975</v>
      </c>
      <c r="E545" s="287" t="s">
        <v>3562</v>
      </c>
      <c r="F545" s="287" t="s">
        <v>3565</v>
      </c>
      <c r="G545" s="288" t="s">
        <v>3569</v>
      </c>
      <c r="H545" s="287">
        <v>44265</v>
      </c>
      <c r="I545" s="287" t="s">
        <v>2975</v>
      </c>
      <c r="J545" s="759"/>
    </row>
    <row r="546" spans="1:10" x14ac:dyDescent="0.2">
      <c r="A546" s="944">
        <v>39035130104</v>
      </c>
      <c r="B546" s="239" t="s">
        <v>564</v>
      </c>
      <c r="C546" s="286" t="s">
        <v>4330</v>
      </c>
      <c r="D546" s="865" t="s">
        <v>2975</v>
      </c>
      <c r="E546" s="287" t="s">
        <v>3562</v>
      </c>
      <c r="F546" s="287" t="s">
        <v>3558</v>
      </c>
      <c r="G546" s="288" t="s">
        <v>3569</v>
      </c>
      <c r="H546" s="287">
        <v>44266</v>
      </c>
      <c r="I546" s="287" t="s">
        <v>2975</v>
      </c>
      <c r="J546" s="759"/>
    </row>
    <row r="547" spans="1:10" x14ac:dyDescent="0.2">
      <c r="A547" s="944">
        <v>39035130105</v>
      </c>
      <c r="B547" s="239" t="s">
        <v>565</v>
      </c>
      <c r="C547" s="286" t="s">
        <v>2975</v>
      </c>
      <c r="D547" s="865" t="s">
        <v>2975</v>
      </c>
      <c r="E547" s="287" t="s">
        <v>3562</v>
      </c>
      <c r="F547" s="287" t="s">
        <v>3561</v>
      </c>
      <c r="G547" s="288" t="s">
        <v>3569</v>
      </c>
      <c r="H547" s="287">
        <v>44270</v>
      </c>
      <c r="I547" s="287" t="s">
        <v>2975</v>
      </c>
      <c r="J547" s="759"/>
    </row>
    <row r="548" spans="1:10" x14ac:dyDescent="0.2">
      <c r="A548" s="944">
        <v>39035130106</v>
      </c>
      <c r="B548" s="239" t="s">
        <v>566</v>
      </c>
      <c r="C548" s="286" t="s">
        <v>2975</v>
      </c>
      <c r="D548" s="865" t="s">
        <v>2975</v>
      </c>
      <c r="E548" s="287" t="s">
        <v>3562</v>
      </c>
      <c r="F548" s="287" t="s">
        <v>3558</v>
      </c>
      <c r="G548" s="288" t="s">
        <v>3569</v>
      </c>
      <c r="H548" s="287">
        <v>44272</v>
      </c>
      <c r="I548" s="287" t="s">
        <v>2975</v>
      </c>
      <c r="J548" s="759"/>
    </row>
    <row r="549" spans="1:10" x14ac:dyDescent="0.2">
      <c r="A549" s="944">
        <v>39035131102</v>
      </c>
      <c r="B549" s="239" t="s">
        <v>567</v>
      </c>
      <c r="C549" s="286" t="s">
        <v>2975</v>
      </c>
      <c r="D549" s="865" t="s">
        <v>2975</v>
      </c>
      <c r="E549" s="287" t="s">
        <v>3562</v>
      </c>
      <c r="F549" s="287" t="s">
        <v>3558</v>
      </c>
      <c r="G549" s="288" t="s">
        <v>3569</v>
      </c>
      <c r="H549" s="287">
        <v>44273</v>
      </c>
      <c r="I549" s="287" t="s">
        <v>2975</v>
      </c>
      <c r="J549" s="759"/>
    </row>
    <row r="550" spans="1:10" x14ac:dyDescent="0.2">
      <c r="A550" s="944">
        <v>39035131103</v>
      </c>
      <c r="B550" s="239" t="s">
        <v>568</v>
      </c>
      <c r="C550" s="286" t="s">
        <v>2975</v>
      </c>
      <c r="D550" s="865" t="s">
        <v>2975</v>
      </c>
      <c r="E550" s="287" t="s">
        <v>3562</v>
      </c>
      <c r="F550" s="287" t="s">
        <v>3559</v>
      </c>
      <c r="G550" s="288" t="s">
        <v>3569</v>
      </c>
      <c r="H550" s="287">
        <v>44274</v>
      </c>
      <c r="I550" s="287" t="s">
        <v>2975</v>
      </c>
      <c r="J550" s="759"/>
    </row>
    <row r="551" spans="1:10" x14ac:dyDescent="0.2">
      <c r="A551" s="944">
        <v>39035131104</v>
      </c>
      <c r="B551" s="239" t="s">
        <v>569</v>
      </c>
      <c r="C551" s="286" t="s">
        <v>2975</v>
      </c>
      <c r="D551" s="865" t="s">
        <v>2975</v>
      </c>
      <c r="E551" s="287" t="s">
        <v>3562</v>
      </c>
      <c r="F551" s="287" t="s">
        <v>5176</v>
      </c>
      <c r="G551" s="288" t="s">
        <v>3569</v>
      </c>
      <c r="H551" s="287">
        <v>44275</v>
      </c>
      <c r="I551" s="287" t="s">
        <v>2975</v>
      </c>
      <c r="J551" s="759"/>
    </row>
    <row r="552" spans="1:10" x14ac:dyDescent="0.2">
      <c r="A552" s="944">
        <v>39035132100</v>
      </c>
      <c r="B552" s="239" t="s">
        <v>570</v>
      </c>
      <c r="C552" s="286" t="s">
        <v>2975</v>
      </c>
      <c r="D552" s="865" t="s">
        <v>2975</v>
      </c>
      <c r="E552" s="287" t="s">
        <v>3564</v>
      </c>
      <c r="F552" s="287" t="s">
        <v>3558</v>
      </c>
      <c r="G552" s="288" t="s">
        <v>3569</v>
      </c>
      <c r="H552" s="287">
        <v>44276</v>
      </c>
      <c r="I552" s="287" t="s">
        <v>2975</v>
      </c>
      <c r="J552" s="759"/>
    </row>
    <row r="553" spans="1:10" x14ac:dyDescent="0.2">
      <c r="A553" s="944">
        <v>39035132200</v>
      </c>
      <c r="B553" s="239" t="s">
        <v>571</v>
      </c>
      <c r="C553" s="286" t="s">
        <v>2975</v>
      </c>
      <c r="D553" s="865" t="s">
        <v>2975</v>
      </c>
      <c r="E553" s="287" t="s">
        <v>3557</v>
      </c>
      <c r="F553" s="287" t="s">
        <v>3560</v>
      </c>
      <c r="G553" s="288" t="s">
        <v>3569</v>
      </c>
      <c r="H553" s="287">
        <v>44278</v>
      </c>
      <c r="I553" s="287" t="s">
        <v>2975</v>
      </c>
      <c r="J553" s="759"/>
    </row>
    <row r="554" spans="1:10" x14ac:dyDescent="0.2">
      <c r="A554" s="944">
        <v>39035132301</v>
      </c>
      <c r="B554" s="239" t="s">
        <v>572</v>
      </c>
      <c r="C554" s="286" t="s">
        <v>2975</v>
      </c>
      <c r="D554" s="865" t="s">
        <v>2975</v>
      </c>
      <c r="E554" s="287" t="s">
        <v>3557</v>
      </c>
      <c r="F554" s="287" t="s">
        <v>3565</v>
      </c>
      <c r="G554" s="288" t="s">
        <v>3569</v>
      </c>
      <c r="H554" s="287">
        <v>44280</v>
      </c>
      <c r="I554" s="287" t="s">
        <v>2973</v>
      </c>
      <c r="J554" s="759"/>
    </row>
    <row r="555" spans="1:10" x14ac:dyDescent="0.2">
      <c r="A555" s="944">
        <v>39035132302</v>
      </c>
      <c r="B555" s="239" t="s">
        <v>573</v>
      </c>
      <c r="C555" s="286" t="s">
        <v>2975</v>
      </c>
      <c r="D555" s="865" t="s">
        <v>2975</v>
      </c>
      <c r="E555" s="287" t="s">
        <v>3557</v>
      </c>
      <c r="F555" s="287" t="s">
        <v>3558</v>
      </c>
      <c r="G555" s="288" t="s">
        <v>3569</v>
      </c>
      <c r="H555" s="287">
        <v>44281</v>
      </c>
      <c r="I555" s="287" t="s">
        <v>2975</v>
      </c>
      <c r="J555" s="759"/>
    </row>
    <row r="556" spans="1:10" x14ac:dyDescent="0.2">
      <c r="A556" s="944">
        <v>39035133103</v>
      </c>
      <c r="B556" s="239" t="s">
        <v>574</v>
      </c>
      <c r="C556" s="286" t="s">
        <v>2975</v>
      </c>
      <c r="D556" s="865" t="s">
        <v>2975</v>
      </c>
      <c r="E556" s="287" t="s">
        <v>3557</v>
      </c>
      <c r="F556" s="287" t="s">
        <v>3558</v>
      </c>
      <c r="G556" s="288" t="s">
        <v>3569</v>
      </c>
      <c r="H556" s="287">
        <v>44285</v>
      </c>
      <c r="I556" s="287" t="s">
        <v>2975</v>
      </c>
      <c r="J556" s="759"/>
    </row>
    <row r="557" spans="1:10" x14ac:dyDescent="0.2">
      <c r="A557" s="944">
        <v>39035133104</v>
      </c>
      <c r="B557" s="239" t="s">
        <v>575</v>
      </c>
      <c r="C557" s="286" t="s">
        <v>4330</v>
      </c>
      <c r="D557" s="865" t="s">
        <v>4330</v>
      </c>
      <c r="E557" s="287" t="s">
        <v>3557</v>
      </c>
      <c r="F557" s="287" t="s">
        <v>5177</v>
      </c>
      <c r="G557" s="288" t="s">
        <v>3569</v>
      </c>
      <c r="H557" s="287">
        <v>44286</v>
      </c>
      <c r="I557" s="287" t="s">
        <v>2975</v>
      </c>
      <c r="J557" s="759"/>
    </row>
    <row r="558" spans="1:10" x14ac:dyDescent="0.2">
      <c r="A558" s="944">
        <v>39035134100</v>
      </c>
      <c r="B558" s="239" t="s">
        <v>576</v>
      </c>
      <c r="C558" s="286" t="s">
        <v>2975</v>
      </c>
      <c r="D558" s="865" t="s">
        <v>2975</v>
      </c>
      <c r="E558" s="287" t="s">
        <v>3563</v>
      </c>
      <c r="F558" s="287" t="s">
        <v>3559</v>
      </c>
      <c r="G558" s="288" t="s">
        <v>3569</v>
      </c>
      <c r="H558" s="287">
        <v>44287</v>
      </c>
      <c r="I558" s="287" t="s">
        <v>2975</v>
      </c>
      <c r="J558" s="759"/>
    </row>
    <row r="559" spans="1:10" x14ac:dyDescent="0.2">
      <c r="A559" s="944">
        <v>39035134203</v>
      </c>
      <c r="B559" s="239" t="s">
        <v>577</v>
      </c>
      <c r="C559" s="286" t="s">
        <v>2975</v>
      </c>
      <c r="D559" s="865" t="s">
        <v>2975</v>
      </c>
      <c r="E559" s="287" t="s">
        <v>3563</v>
      </c>
      <c r="F559" s="287" t="s">
        <v>3559</v>
      </c>
      <c r="G559" s="288" t="s">
        <v>3569</v>
      </c>
      <c r="H559" s="287">
        <v>44288</v>
      </c>
      <c r="I559" s="287" t="s">
        <v>2975</v>
      </c>
      <c r="J559" s="759"/>
    </row>
    <row r="560" spans="1:10" x14ac:dyDescent="0.2">
      <c r="A560" s="944">
        <v>39035134204</v>
      </c>
      <c r="B560" s="239" t="s">
        <v>578</v>
      </c>
      <c r="C560" s="286" t="s">
        <v>2975</v>
      </c>
      <c r="D560" s="865" t="s">
        <v>2975</v>
      </c>
      <c r="E560" s="287" t="s">
        <v>3564</v>
      </c>
      <c r="F560" s="287" t="s">
        <v>3558</v>
      </c>
      <c r="G560" s="288" t="s">
        <v>3569</v>
      </c>
      <c r="H560" s="287">
        <v>44301</v>
      </c>
      <c r="I560" s="287" t="s">
        <v>2975</v>
      </c>
      <c r="J560" s="759"/>
    </row>
    <row r="561" spans="1:10" x14ac:dyDescent="0.2">
      <c r="A561" s="944">
        <v>39035134205</v>
      </c>
      <c r="B561" s="239" t="s">
        <v>579</v>
      </c>
      <c r="C561" s="286" t="s">
        <v>2975</v>
      </c>
      <c r="D561" s="865" t="s">
        <v>2975</v>
      </c>
      <c r="E561" s="287" t="s">
        <v>3563</v>
      </c>
      <c r="F561" s="287" t="s">
        <v>3559</v>
      </c>
      <c r="G561" s="288" t="s">
        <v>3569</v>
      </c>
      <c r="H561" s="287">
        <v>44302</v>
      </c>
      <c r="I561" s="287" t="s">
        <v>2975</v>
      </c>
      <c r="J561" s="759"/>
    </row>
    <row r="562" spans="1:10" x14ac:dyDescent="0.2">
      <c r="A562" s="944">
        <v>39035134206</v>
      </c>
      <c r="B562" s="239" t="s">
        <v>580</v>
      </c>
      <c r="C562" s="286" t="s">
        <v>2975</v>
      </c>
      <c r="D562" s="865" t="s">
        <v>2975</v>
      </c>
      <c r="E562" s="287" t="s">
        <v>3566</v>
      </c>
      <c r="F562" s="287" t="s">
        <v>3565</v>
      </c>
      <c r="G562" s="288" t="s">
        <v>3569</v>
      </c>
      <c r="H562" s="287">
        <v>44303</v>
      </c>
      <c r="I562" s="287" t="s">
        <v>2975</v>
      </c>
      <c r="J562" s="759"/>
    </row>
    <row r="563" spans="1:10" x14ac:dyDescent="0.2">
      <c r="A563" s="944">
        <v>39035134300</v>
      </c>
      <c r="B563" s="239" t="s">
        <v>581</v>
      </c>
      <c r="C563" s="286" t="s">
        <v>2975</v>
      </c>
      <c r="D563" s="865" t="s">
        <v>2975</v>
      </c>
      <c r="E563" s="287" t="s">
        <v>3563</v>
      </c>
      <c r="F563" s="287" t="s">
        <v>5176</v>
      </c>
      <c r="G563" s="288" t="s">
        <v>3569</v>
      </c>
      <c r="H563" s="287">
        <v>44304</v>
      </c>
      <c r="I563" s="287" t="s">
        <v>2975</v>
      </c>
      <c r="J563" s="759"/>
    </row>
    <row r="564" spans="1:10" x14ac:dyDescent="0.2">
      <c r="A564" s="944">
        <v>39035135103</v>
      </c>
      <c r="B564" s="239" t="s">
        <v>582</v>
      </c>
      <c r="C564" s="286" t="s">
        <v>2975</v>
      </c>
      <c r="D564" s="865" t="s">
        <v>2975</v>
      </c>
      <c r="E564" s="287" t="s">
        <v>3562</v>
      </c>
      <c r="F564" s="287" t="s">
        <v>5177</v>
      </c>
      <c r="G564" s="288" t="s">
        <v>3569</v>
      </c>
      <c r="H564" s="287">
        <v>44305</v>
      </c>
      <c r="I564" s="287" t="s">
        <v>2975</v>
      </c>
      <c r="J564" s="759"/>
    </row>
    <row r="565" spans="1:10" x14ac:dyDescent="0.2">
      <c r="A565" s="944">
        <v>39035135104</v>
      </c>
      <c r="B565" s="239" t="s">
        <v>583</v>
      </c>
      <c r="C565" s="286" t="s">
        <v>2975</v>
      </c>
      <c r="D565" s="865" t="s">
        <v>2975</v>
      </c>
      <c r="E565" s="287" t="s">
        <v>3562</v>
      </c>
      <c r="F565" s="287" t="s">
        <v>5176</v>
      </c>
      <c r="G565" s="288" t="s">
        <v>3569</v>
      </c>
      <c r="H565" s="287">
        <v>44306</v>
      </c>
      <c r="I565" s="287" t="s">
        <v>2975</v>
      </c>
      <c r="J565" s="759"/>
    </row>
    <row r="566" spans="1:10" x14ac:dyDescent="0.2">
      <c r="A566" s="944">
        <v>39035135105</v>
      </c>
      <c r="B566" s="239" t="s">
        <v>584</v>
      </c>
      <c r="C566" s="286" t="s">
        <v>2975</v>
      </c>
      <c r="D566" s="865" t="s">
        <v>2975</v>
      </c>
      <c r="E566" s="287" t="s">
        <v>3562</v>
      </c>
      <c r="F566" s="287" t="s">
        <v>5177</v>
      </c>
      <c r="G566" s="288" t="s">
        <v>3569</v>
      </c>
      <c r="H566" s="287">
        <v>44307</v>
      </c>
      <c r="I566" s="287" t="s">
        <v>2975</v>
      </c>
      <c r="J566" s="759"/>
    </row>
    <row r="567" spans="1:10" x14ac:dyDescent="0.2">
      <c r="A567" s="944">
        <v>39035135106</v>
      </c>
      <c r="B567" s="239" t="s">
        <v>585</v>
      </c>
      <c r="C567" s="286" t="s">
        <v>2975</v>
      </c>
      <c r="D567" s="865" t="s">
        <v>2975</v>
      </c>
      <c r="E567" s="287" t="s">
        <v>3562</v>
      </c>
      <c r="F567" s="287" t="s">
        <v>3558</v>
      </c>
      <c r="G567" s="288" t="s">
        <v>3569</v>
      </c>
      <c r="H567" s="287">
        <v>44308</v>
      </c>
      <c r="I567" s="287" t="s">
        <v>2975</v>
      </c>
      <c r="J567" s="759"/>
    </row>
    <row r="568" spans="1:10" x14ac:dyDescent="0.2">
      <c r="A568" s="944">
        <v>39035136101</v>
      </c>
      <c r="B568" s="239" t="s">
        <v>586</v>
      </c>
      <c r="C568" s="286" t="s">
        <v>2975</v>
      </c>
      <c r="D568" s="865" t="s">
        <v>2975</v>
      </c>
      <c r="E568" s="287" t="s">
        <v>3562</v>
      </c>
      <c r="F568" s="287" t="s">
        <v>3558</v>
      </c>
      <c r="G568" s="288" t="s">
        <v>3569</v>
      </c>
      <c r="H568" s="287">
        <v>44310</v>
      </c>
      <c r="I568" s="287" t="s">
        <v>2975</v>
      </c>
      <c r="J568" s="759"/>
    </row>
    <row r="569" spans="1:10" x14ac:dyDescent="0.2">
      <c r="A569" s="944">
        <v>39035136102</v>
      </c>
      <c r="B569" s="239" t="s">
        <v>587</v>
      </c>
      <c r="C569" s="286" t="s">
        <v>2975</v>
      </c>
      <c r="D569" s="865" t="s">
        <v>2975</v>
      </c>
      <c r="E569" s="287" t="s">
        <v>3563</v>
      </c>
      <c r="F569" s="287" t="s">
        <v>5176</v>
      </c>
      <c r="G569" s="288" t="s">
        <v>3569</v>
      </c>
      <c r="H569" s="287">
        <v>44311</v>
      </c>
      <c r="I569" s="287" t="s">
        <v>2975</v>
      </c>
      <c r="J569" s="759"/>
    </row>
    <row r="570" spans="1:10" x14ac:dyDescent="0.2">
      <c r="A570" s="944">
        <v>39035136103</v>
      </c>
      <c r="B570" s="239" t="s">
        <v>588</v>
      </c>
      <c r="C570" s="286" t="s">
        <v>2975</v>
      </c>
      <c r="D570" s="865" t="s">
        <v>2975</v>
      </c>
      <c r="E570" s="287" t="s">
        <v>3562</v>
      </c>
      <c r="F570" s="287" t="s">
        <v>3565</v>
      </c>
      <c r="G570" s="288" t="s">
        <v>3569</v>
      </c>
      <c r="H570" s="287">
        <v>44312</v>
      </c>
      <c r="I570" s="287" t="s">
        <v>2975</v>
      </c>
      <c r="J570" s="759"/>
    </row>
    <row r="571" spans="1:10" x14ac:dyDescent="0.2">
      <c r="A571" s="944">
        <v>39035137101</v>
      </c>
      <c r="B571" s="239" t="s">
        <v>589</v>
      </c>
      <c r="C571" s="286" t="s">
        <v>2975</v>
      </c>
      <c r="D571" s="865" t="s">
        <v>2975</v>
      </c>
      <c r="E571" s="287" t="s">
        <v>3564</v>
      </c>
      <c r="F571" s="287" t="s">
        <v>3565</v>
      </c>
      <c r="G571" s="288" t="s">
        <v>3569</v>
      </c>
      <c r="H571" s="287">
        <v>44313</v>
      </c>
      <c r="I571" s="287" t="s">
        <v>2975</v>
      </c>
      <c r="J571" s="759"/>
    </row>
    <row r="572" spans="1:10" x14ac:dyDescent="0.2">
      <c r="A572" s="944">
        <v>39035137102</v>
      </c>
      <c r="B572" s="239" t="s">
        <v>590</v>
      </c>
      <c r="C572" s="286" t="s">
        <v>2975</v>
      </c>
      <c r="D572" s="865" t="s">
        <v>2975</v>
      </c>
      <c r="E572" s="287" t="s">
        <v>3564</v>
      </c>
      <c r="F572" s="287" t="s">
        <v>3565</v>
      </c>
      <c r="G572" s="288" t="s">
        <v>3569</v>
      </c>
      <c r="H572" s="287">
        <v>44314</v>
      </c>
      <c r="I572" s="287" t="s">
        <v>2975</v>
      </c>
      <c r="J572" s="759"/>
    </row>
    <row r="573" spans="1:10" x14ac:dyDescent="0.2">
      <c r="A573" s="944">
        <v>39035137103</v>
      </c>
      <c r="B573" s="239" t="s">
        <v>591</v>
      </c>
      <c r="C573" s="286" t="s">
        <v>2975</v>
      </c>
      <c r="D573" s="865" t="s">
        <v>2975</v>
      </c>
      <c r="E573" s="287" t="s">
        <v>3563</v>
      </c>
      <c r="F573" s="287" t="s">
        <v>3559</v>
      </c>
      <c r="G573" s="288" t="s">
        <v>3569</v>
      </c>
      <c r="H573" s="287">
        <v>44319</v>
      </c>
      <c r="I573" s="287" t="s">
        <v>2975</v>
      </c>
      <c r="J573" s="759"/>
    </row>
    <row r="574" spans="1:10" x14ac:dyDescent="0.2">
      <c r="A574" s="944">
        <v>39035138105</v>
      </c>
      <c r="B574" s="239" t="s">
        <v>592</v>
      </c>
      <c r="C574" s="286" t="s">
        <v>2975</v>
      </c>
      <c r="D574" s="865" t="s">
        <v>2975</v>
      </c>
      <c r="E574" s="287" t="s">
        <v>3564</v>
      </c>
      <c r="F574" s="287" t="s">
        <v>3559</v>
      </c>
      <c r="G574" s="288" t="s">
        <v>3569</v>
      </c>
      <c r="H574" s="287">
        <v>44320</v>
      </c>
      <c r="I574" s="287" t="s">
        <v>2975</v>
      </c>
      <c r="J574" s="759"/>
    </row>
    <row r="575" spans="1:10" x14ac:dyDescent="0.2">
      <c r="A575" s="944">
        <v>39035138106</v>
      </c>
      <c r="B575" s="239" t="s">
        <v>593</v>
      </c>
      <c r="C575" s="286" t="s">
        <v>2975</v>
      </c>
      <c r="D575" s="865" t="s">
        <v>2975</v>
      </c>
      <c r="E575" s="287" t="s">
        <v>3564</v>
      </c>
      <c r="F575" s="287" t="s">
        <v>5176</v>
      </c>
      <c r="G575" s="288" t="s">
        <v>3569</v>
      </c>
      <c r="H575" s="287">
        <v>44321</v>
      </c>
      <c r="I575" s="287" t="s">
        <v>2975</v>
      </c>
      <c r="J575" s="759"/>
    </row>
    <row r="576" spans="1:10" x14ac:dyDescent="0.2">
      <c r="A576" s="944">
        <v>39035138107</v>
      </c>
      <c r="B576" s="239" t="s">
        <v>594</v>
      </c>
      <c r="C576" s="286" t="s">
        <v>2975</v>
      </c>
      <c r="D576" s="865" t="s">
        <v>2975</v>
      </c>
      <c r="E576" s="287" t="s">
        <v>3566</v>
      </c>
      <c r="F576" s="287" t="s">
        <v>5176</v>
      </c>
      <c r="G576" s="288" t="s">
        <v>3569</v>
      </c>
      <c r="H576" s="287">
        <v>44333</v>
      </c>
      <c r="I576" s="287" t="s">
        <v>2975</v>
      </c>
      <c r="J576" s="759"/>
    </row>
    <row r="577" spans="1:10" x14ac:dyDescent="0.2">
      <c r="A577" s="944">
        <v>39035138108</v>
      </c>
      <c r="B577" s="239" t="s">
        <v>595</v>
      </c>
      <c r="C577" s="286" t="s">
        <v>2975</v>
      </c>
      <c r="D577" s="865" t="s">
        <v>2975</v>
      </c>
      <c r="E577" s="287" t="s">
        <v>3566</v>
      </c>
      <c r="F577" s="287" t="s">
        <v>5176</v>
      </c>
      <c r="G577" s="288" t="s">
        <v>3569</v>
      </c>
      <c r="H577" s="287">
        <v>44401</v>
      </c>
      <c r="I577" s="287" t="s">
        <v>2975</v>
      </c>
      <c r="J577" s="759"/>
    </row>
    <row r="578" spans="1:10" x14ac:dyDescent="0.2">
      <c r="A578" s="944">
        <v>39035138109</v>
      </c>
      <c r="B578" s="239" t="s">
        <v>596</v>
      </c>
      <c r="C578" s="286" t="s">
        <v>2975</v>
      </c>
      <c r="D578" s="865" t="s">
        <v>2975</v>
      </c>
      <c r="E578" s="287" t="s">
        <v>3566</v>
      </c>
      <c r="F578" s="287" t="s">
        <v>3565</v>
      </c>
      <c r="G578" s="288" t="s">
        <v>3569</v>
      </c>
      <c r="H578" s="287">
        <v>44402</v>
      </c>
      <c r="I578" s="287" t="s">
        <v>2975</v>
      </c>
      <c r="J578" s="759"/>
    </row>
    <row r="579" spans="1:10" x14ac:dyDescent="0.2">
      <c r="A579" s="944">
        <v>39035138110</v>
      </c>
      <c r="B579" s="239" t="s">
        <v>597</v>
      </c>
      <c r="C579" s="286" t="s">
        <v>2975</v>
      </c>
      <c r="D579" s="865" t="s">
        <v>2975</v>
      </c>
      <c r="E579" s="287" t="s">
        <v>3566</v>
      </c>
      <c r="F579" s="287" t="s">
        <v>3559</v>
      </c>
      <c r="G579" s="288" t="s">
        <v>3569</v>
      </c>
      <c r="H579" s="287">
        <v>44403</v>
      </c>
      <c r="I579" s="287" t="s">
        <v>2975</v>
      </c>
      <c r="J579" s="759"/>
    </row>
    <row r="580" spans="1:10" x14ac:dyDescent="0.2">
      <c r="A580" s="944">
        <v>39035140100</v>
      </c>
      <c r="B580" s="239" t="s">
        <v>598</v>
      </c>
      <c r="C580" s="286" t="s">
        <v>2975</v>
      </c>
      <c r="D580" s="865" t="s">
        <v>2975</v>
      </c>
      <c r="E580" s="287" t="s">
        <v>3557</v>
      </c>
      <c r="F580" s="287" t="s">
        <v>3560</v>
      </c>
      <c r="G580" s="288" t="s">
        <v>3569</v>
      </c>
      <c r="H580" s="287">
        <v>44404</v>
      </c>
      <c r="I580" s="287" t="s">
        <v>2975</v>
      </c>
      <c r="J580" s="759"/>
    </row>
    <row r="581" spans="1:10" x14ac:dyDescent="0.2">
      <c r="A581" s="944">
        <v>39035140301</v>
      </c>
      <c r="B581" s="239" t="s">
        <v>599</v>
      </c>
      <c r="C581" s="286" t="s">
        <v>4330</v>
      </c>
      <c r="D581" s="865" t="s">
        <v>4330</v>
      </c>
      <c r="E581" s="287" t="s">
        <v>3557</v>
      </c>
      <c r="F581" s="287" t="s">
        <v>3559</v>
      </c>
      <c r="G581" s="288" t="s">
        <v>3569</v>
      </c>
      <c r="H581" s="287">
        <v>44405</v>
      </c>
      <c r="I581" s="287" t="s">
        <v>2975</v>
      </c>
      <c r="J581" s="759"/>
    </row>
    <row r="582" spans="1:10" x14ac:dyDescent="0.2">
      <c r="A582" s="944">
        <v>39035140302</v>
      </c>
      <c r="B582" s="239" t="s">
        <v>600</v>
      </c>
      <c r="C582" s="286" t="s">
        <v>2975</v>
      </c>
      <c r="D582" s="865" t="s">
        <v>2975</v>
      </c>
      <c r="E582" s="287" t="s">
        <v>3564</v>
      </c>
      <c r="F582" s="287" t="s">
        <v>5177</v>
      </c>
      <c r="G582" s="288" t="s">
        <v>3569</v>
      </c>
      <c r="H582" s="287">
        <v>44406</v>
      </c>
      <c r="I582" s="287" t="s">
        <v>2975</v>
      </c>
      <c r="J582" s="759"/>
    </row>
    <row r="583" spans="1:10" x14ac:dyDescent="0.2">
      <c r="A583" s="944">
        <v>39035140400</v>
      </c>
      <c r="B583" s="239" t="s">
        <v>601</v>
      </c>
      <c r="C583" s="286" t="s">
        <v>2975</v>
      </c>
      <c r="D583" s="865" t="s">
        <v>2975</v>
      </c>
      <c r="E583" s="287" t="s">
        <v>3557</v>
      </c>
      <c r="F583" s="287" t="s">
        <v>3565</v>
      </c>
      <c r="G583" s="288" t="s">
        <v>3569</v>
      </c>
      <c r="H583" s="287">
        <v>44408</v>
      </c>
      <c r="I583" s="287" t="s">
        <v>2975</v>
      </c>
      <c r="J583" s="759"/>
    </row>
    <row r="584" spans="1:10" x14ac:dyDescent="0.2">
      <c r="A584" s="944">
        <v>39035140500</v>
      </c>
      <c r="B584" s="239" t="s">
        <v>602</v>
      </c>
      <c r="C584" s="286" t="s">
        <v>2975</v>
      </c>
      <c r="D584" s="865" t="s">
        <v>2975</v>
      </c>
      <c r="E584" s="287" t="s">
        <v>3557</v>
      </c>
      <c r="F584" s="287" t="s">
        <v>5176</v>
      </c>
      <c r="G584" s="288" t="s">
        <v>3569</v>
      </c>
      <c r="H584" s="287">
        <v>44410</v>
      </c>
      <c r="I584" s="287" t="s">
        <v>2975</v>
      </c>
      <c r="J584" s="759"/>
    </row>
    <row r="585" spans="1:10" x14ac:dyDescent="0.2">
      <c r="A585" s="944">
        <v>39035140600</v>
      </c>
      <c r="B585" s="239" t="s">
        <v>603</v>
      </c>
      <c r="C585" s="286" t="s">
        <v>2975</v>
      </c>
      <c r="D585" s="865" t="s">
        <v>2975</v>
      </c>
      <c r="E585" s="287" t="s">
        <v>3566</v>
      </c>
      <c r="F585" s="287" t="s">
        <v>5177</v>
      </c>
      <c r="G585" s="288" t="s">
        <v>3569</v>
      </c>
      <c r="H585" s="287">
        <v>44411</v>
      </c>
      <c r="I585" s="287" t="s">
        <v>2975</v>
      </c>
      <c r="J585" s="759"/>
    </row>
    <row r="586" spans="1:10" x14ac:dyDescent="0.2">
      <c r="A586" s="944">
        <v>39035140701</v>
      </c>
      <c r="B586" s="239" t="s">
        <v>604</v>
      </c>
      <c r="C586" s="286" t="s">
        <v>4330</v>
      </c>
      <c r="D586" s="865" t="s">
        <v>4330</v>
      </c>
      <c r="E586" s="287" t="s">
        <v>3557</v>
      </c>
      <c r="F586" s="287" t="s">
        <v>5176</v>
      </c>
      <c r="G586" s="288" t="s">
        <v>3569</v>
      </c>
      <c r="H586" s="287">
        <v>44412</v>
      </c>
      <c r="I586" s="287" t="s">
        <v>2975</v>
      </c>
      <c r="J586" s="759"/>
    </row>
    <row r="587" spans="1:10" x14ac:dyDescent="0.2">
      <c r="A587" s="944">
        <v>39035140702</v>
      </c>
      <c r="B587" s="239" t="s">
        <v>605</v>
      </c>
      <c r="C587" s="286" t="s">
        <v>4330</v>
      </c>
      <c r="D587" s="865" t="s">
        <v>4330</v>
      </c>
      <c r="E587" s="287" t="s">
        <v>3557</v>
      </c>
      <c r="F587" s="287" t="s">
        <v>5176</v>
      </c>
      <c r="G587" s="288" t="s">
        <v>3569</v>
      </c>
      <c r="H587" s="287">
        <v>44413</v>
      </c>
      <c r="I587" s="287" t="s">
        <v>2975</v>
      </c>
      <c r="J587" s="759"/>
    </row>
    <row r="588" spans="1:10" x14ac:dyDescent="0.2">
      <c r="A588" s="944">
        <v>39035140800</v>
      </c>
      <c r="B588" s="239" t="s">
        <v>606</v>
      </c>
      <c r="C588" s="286" t="s">
        <v>2975</v>
      </c>
      <c r="D588" s="865" t="s">
        <v>2975</v>
      </c>
      <c r="E588" s="287" t="s">
        <v>3563</v>
      </c>
      <c r="F588" s="287" t="s">
        <v>3565</v>
      </c>
      <c r="G588" s="288" t="s">
        <v>3569</v>
      </c>
      <c r="H588" s="287">
        <v>44417</v>
      </c>
      <c r="I588" s="287" t="s">
        <v>2975</v>
      </c>
      <c r="J588" s="759"/>
    </row>
    <row r="589" spans="1:10" x14ac:dyDescent="0.2">
      <c r="A589" s="944">
        <v>39035140900</v>
      </c>
      <c r="B589" s="239" t="s">
        <v>607</v>
      </c>
      <c r="C589" s="286" t="s">
        <v>2975</v>
      </c>
      <c r="D589" s="865" t="s">
        <v>2975</v>
      </c>
      <c r="E589" s="287" t="s">
        <v>3566</v>
      </c>
      <c r="F589" s="287" t="s">
        <v>3558</v>
      </c>
      <c r="G589" s="288" t="s">
        <v>3569</v>
      </c>
      <c r="H589" s="287">
        <v>44418</v>
      </c>
      <c r="I589" s="287" t="s">
        <v>2975</v>
      </c>
      <c r="J589" s="759"/>
    </row>
    <row r="590" spans="1:10" x14ac:dyDescent="0.2">
      <c r="A590" s="944">
        <v>39035141000</v>
      </c>
      <c r="B590" s="239" t="s">
        <v>608</v>
      </c>
      <c r="C590" s="286" t="s">
        <v>4330</v>
      </c>
      <c r="D590" s="865" t="s">
        <v>4330</v>
      </c>
      <c r="E590" s="287" t="s">
        <v>3557</v>
      </c>
      <c r="F590" s="287" t="s">
        <v>3565</v>
      </c>
      <c r="G590" s="288" t="s">
        <v>3569</v>
      </c>
      <c r="H590" s="287">
        <v>44420</v>
      </c>
      <c r="I590" s="287" t="s">
        <v>2975</v>
      </c>
      <c r="J590" s="759"/>
    </row>
    <row r="591" spans="1:10" x14ac:dyDescent="0.2">
      <c r="A591" s="944">
        <v>39035141100</v>
      </c>
      <c r="B591" s="239" t="s">
        <v>609</v>
      </c>
      <c r="C591" s="286" t="s">
        <v>2975</v>
      </c>
      <c r="D591" s="865" t="s">
        <v>2975</v>
      </c>
      <c r="E591" s="287" t="s">
        <v>3566</v>
      </c>
      <c r="F591" s="287" t="s">
        <v>3565</v>
      </c>
      <c r="G591" s="288" t="s">
        <v>3569</v>
      </c>
      <c r="H591" s="287">
        <v>44423</v>
      </c>
      <c r="I591" s="287" t="s">
        <v>2975</v>
      </c>
      <c r="J591" s="759"/>
    </row>
    <row r="592" spans="1:10" x14ac:dyDescent="0.2">
      <c r="A592" s="944">
        <v>39035141200</v>
      </c>
      <c r="B592" s="239" t="s">
        <v>610</v>
      </c>
      <c r="C592" s="286" t="s">
        <v>2975</v>
      </c>
      <c r="D592" s="865" t="s">
        <v>2975</v>
      </c>
      <c r="E592" s="287" t="s">
        <v>3562</v>
      </c>
      <c r="F592" s="287" t="s">
        <v>5177</v>
      </c>
      <c r="G592" s="288" t="s">
        <v>3569</v>
      </c>
      <c r="H592" s="287">
        <v>44425</v>
      </c>
      <c r="I592" s="287" t="s">
        <v>2975</v>
      </c>
      <c r="J592" s="759"/>
    </row>
    <row r="593" spans="1:10" x14ac:dyDescent="0.2">
      <c r="A593" s="944">
        <v>39035141300</v>
      </c>
      <c r="B593" s="239" t="s">
        <v>611</v>
      </c>
      <c r="C593" s="286" t="s">
        <v>2975</v>
      </c>
      <c r="D593" s="865" t="s">
        <v>2975</v>
      </c>
      <c r="E593" s="287" t="s">
        <v>3562</v>
      </c>
      <c r="F593" s="287" t="s">
        <v>3565</v>
      </c>
      <c r="G593" s="288" t="s">
        <v>3569</v>
      </c>
      <c r="H593" s="287">
        <v>44427</v>
      </c>
      <c r="I593" s="287" t="s">
        <v>2975</v>
      </c>
      <c r="J593" s="759"/>
    </row>
    <row r="594" spans="1:10" x14ac:dyDescent="0.2">
      <c r="A594" s="944">
        <v>39035141400</v>
      </c>
      <c r="B594" s="239" t="s">
        <v>612</v>
      </c>
      <c r="C594" s="286" t="s">
        <v>2975</v>
      </c>
      <c r="D594" s="865" t="s">
        <v>2975</v>
      </c>
      <c r="E594" s="287" t="s">
        <v>3562</v>
      </c>
      <c r="F594" s="287" t="s">
        <v>3559</v>
      </c>
      <c r="G594" s="288" t="s">
        <v>3569</v>
      </c>
      <c r="H594" s="287">
        <v>44428</v>
      </c>
      <c r="I594" s="287" t="s">
        <v>2975</v>
      </c>
      <c r="J594" s="759"/>
    </row>
    <row r="595" spans="1:10" x14ac:dyDescent="0.2">
      <c r="A595" s="944">
        <v>39035141500</v>
      </c>
      <c r="B595" s="239" t="s">
        <v>613</v>
      </c>
      <c r="C595" s="286" t="s">
        <v>2975</v>
      </c>
      <c r="D595" s="865" t="s">
        <v>2975</v>
      </c>
      <c r="E595" s="287" t="s">
        <v>3563</v>
      </c>
      <c r="F595" s="287" t="s">
        <v>3565</v>
      </c>
      <c r="G595" s="288" t="s">
        <v>3569</v>
      </c>
      <c r="H595" s="287">
        <v>44429</v>
      </c>
      <c r="I595" s="287" t="s">
        <v>2975</v>
      </c>
      <c r="J595" s="759"/>
    </row>
    <row r="596" spans="1:10" x14ac:dyDescent="0.2">
      <c r="A596" s="944">
        <v>39035141601</v>
      </c>
      <c r="B596" s="239" t="s">
        <v>614</v>
      </c>
      <c r="C596" s="286" t="s">
        <v>2975</v>
      </c>
      <c r="D596" s="865" t="s">
        <v>2975</v>
      </c>
      <c r="E596" s="287" t="s">
        <v>3562</v>
      </c>
      <c r="F596" s="287" t="s">
        <v>5177</v>
      </c>
      <c r="G596" s="288" t="s">
        <v>3569</v>
      </c>
      <c r="H596" s="287">
        <v>44430</v>
      </c>
      <c r="I596" s="287" t="s">
        <v>2975</v>
      </c>
      <c r="J596" s="759"/>
    </row>
    <row r="597" spans="1:10" x14ac:dyDescent="0.2">
      <c r="A597" s="944">
        <v>39035141602</v>
      </c>
      <c r="B597" s="239" t="s">
        <v>615</v>
      </c>
      <c r="C597" s="286" t="s">
        <v>2975</v>
      </c>
      <c r="D597" s="865" t="s">
        <v>2975</v>
      </c>
      <c r="E597" s="287" t="s">
        <v>3566</v>
      </c>
      <c r="F597" s="287" t="s">
        <v>3558</v>
      </c>
      <c r="G597" s="288" t="s">
        <v>3569</v>
      </c>
      <c r="H597" s="287">
        <v>44431</v>
      </c>
      <c r="I597" s="287" t="s">
        <v>2975</v>
      </c>
      <c r="J597" s="759"/>
    </row>
    <row r="598" spans="1:10" x14ac:dyDescent="0.2">
      <c r="A598" s="944">
        <v>39035141700</v>
      </c>
      <c r="B598" s="239" t="s">
        <v>616</v>
      </c>
      <c r="C598" s="286" t="s">
        <v>2975</v>
      </c>
      <c r="D598" s="865" t="s">
        <v>2975</v>
      </c>
      <c r="E598" s="287" t="s">
        <v>3562</v>
      </c>
      <c r="F598" s="287" t="s">
        <v>3559</v>
      </c>
      <c r="G598" s="288" t="s">
        <v>3569</v>
      </c>
      <c r="H598" s="287">
        <v>44432</v>
      </c>
      <c r="I598" s="287" t="s">
        <v>2975</v>
      </c>
      <c r="J598" s="759"/>
    </row>
    <row r="599" spans="1:10" x14ac:dyDescent="0.2">
      <c r="A599" s="944">
        <v>39035150100</v>
      </c>
      <c r="B599" s="239" t="s">
        <v>617</v>
      </c>
      <c r="C599" s="286" t="s">
        <v>4330</v>
      </c>
      <c r="D599" s="865" t="s">
        <v>4330</v>
      </c>
      <c r="E599" s="287" t="s">
        <v>3557</v>
      </c>
      <c r="F599" s="287" t="s">
        <v>5176</v>
      </c>
      <c r="G599" s="288" t="s">
        <v>3569</v>
      </c>
      <c r="H599" s="287">
        <v>44436</v>
      </c>
      <c r="I599" s="287" t="s">
        <v>2975</v>
      </c>
      <c r="J599" s="759"/>
    </row>
    <row r="600" spans="1:10" x14ac:dyDescent="0.2">
      <c r="A600" s="944">
        <v>39035150300</v>
      </c>
      <c r="B600" s="239" t="s">
        <v>618</v>
      </c>
      <c r="C600" s="286" t="s">
        <v>4330</v>
      </c>
      <c r="D600" s="865" t="s">
        <v>4330</v>
      </c>
      <c r="E600" s="287" t="s">
        <v>3557</v>
      </c>
      <c r="F600" s="287" t="s">
        <v>3565</v>
      </c>
      <c r="G600" s="288" t="s">
        <v>3569</v>
      </c>
      <c r="H600" s="287">
        <v>44437</v>
      </c>
      <c r="I600" s="287" t="s">
        <v>2975</v>
      </c>
      <c r="J600" s="759"/>
    </row>
    <row r="601" spans="1:10" x14ac:dyDescent="0.2">
      <c r="A601" s="944">
        <v>39035150400</v>
      </c>
      <c r="B601" s="239" t="s">
        <v>619</v>
      </c>
      <c r="C601" s="286" t="s">
        <v>4330</v>
      </c>
      <c r="D601" s="865" t="s">
        <v>4330</v>
      </c>
      <c r="E601" s="287" t="s">
        <v>3557</v>
      </c>
      <c r="F601" s="287" t="s">
        <v>3559</v>
      </c>
      <c r="G601" s="288" t="s">
        <v>3569</v>
      </c>
      <c r="H601" s="287">
        <v>44438</v>
      </c>
      <c r="I601" s="287" t="s">
        <v>2975</v>
      </c>
      <c r="J601" s="759"/>
    </row>
    <row r="602" spans="1:10" x14ac:dyDescent="0.2">
      <c r="A602" s="944">
        <v>39035151100</v>
      </c>
      <c r="B602" s="239" t="s">
        <v>620</v>
      </c>
      <c r="C602" s="286" t="s">
        <v>4330</v>
      </c>
      <c r="D602" s="865" t="s">
        <v>4330</v>
      </c>
      <c r="E602" s="287" t="s">
        <v>3557</v>
      </c>
      <c r="F602" s="287" t="s">
        <v>5176</v>
      </c>
      <c r="G602" s="288" t="s">
        <v>3569</v>
      </c>
      <c r="H602" s="287">
        <v>44439</v>
      </c>
      <c r="I602" s="287" t="s">
        <v>2975</v>
      </c>
      <c r="J602" s="759"/>
    </row>
    <row r="603" spans="1:10" x14ac:dyDescent="0.2">
      <c r="A603" s="944">
        <v>39035151200</v>
      </c>
      <c r="B603" s="239" t="s">
        <v>621</v>
      </c>
      <c r="C603" s="286" t="s">
        <v>4330</v>
      </c>
      <c r="D603" s="865" t="s">
        <v>4330</v>
      </c>
      <c r="E603" s="287" t="s">
        <v>3557</v>
      </c>
      <c r="F603" s="287" t="s">
        <v>3565</v>
      </c>
      <c r="G603" s="288" t="s">
        <v>3569</v>
      </c>
      <c r="H603" s="287">
        <v>44440</v>
      </c>
      <c r="I603" s="287" t="s">
        <v>2975</v>
      </c>
      <c r="J603" s="759"/>
    </row>
    <row r="604" spans="1:10" x14ac:dyDescent="0.2">
      <c r="A604" s="944">
        <v>39035151300</v>
      </c>
      <c r="B604" s="239" t="s">
        <v>622</v>
      </c>
      <c r="C604" s="286" t="s">
        <v>4330</v>
      </c>
      <c r="D604" s="865" t="s">
        <v>4330</v>
      </c>
      <c r="E604" s="287" t="s">
        <v>3557</v>
      </c>
      <c r="F604" s="287" t="s">
        <v>5176</v>
      </c>
      <c r="G604" s="288" t="s">
        <v>3569</v>
      </c>
      <c r="H604" s="287">
        <v>44441</v>
      </c>
      <c r="I604" s="287" t="s">
        <v>2975</v>
      </c>
      <c r="J604" s="759"/>
    </row>
    <row r="605" spans="1:10" x14ac:dyDescent="0.2">
      <c r="A605" s="944">
        <v>39035151400</v>
      </c>
      <c r="B605" s="239" t="s">
        <v>623</v>
      </c>
      <c r="C605" s="286" t="s">
        <v>2975</v>
      </c>
      <c r="D605" s="865" t="s">
        <v>2975</v>
      </c>
      <c r="E605" s="287" t="s">
        <v>3557</v>
      </c>
      <c r="F605" s="287" t="s">
        <v>3558</v>
      </c>
      <c r="G605" s="288" t="s">
        <v>3569</v>
      </c>
      <c r="H605" s="287">
        <v>44442</v>
      </c>
      <c r="I605" s="287" t="s">
        <v>2975</v>
      </c>
      <c r="J605" s="759"/>
    </row>
    <row r="606" spans="1:10" x14ac:dyDescent="0.2">
      <c r="A606" s="944">
        <v>39035151500</v>
      </c>
      <c r="B606" s="239" t="s">
        <v>624</v>
      </c>
      <c r="C606" s="286" t="s">
        <v>4330</v>
      </c>
      <c r="D606" s="865" t="s">
        <v>4330</v>
      </c>
      <c r="E606" s="287" t="s">
        <v>3557</v>
      </c>
      <c r="F606" s="287" t="s">
        <v>5176</v>
      </c>
      <c r="G606" s="288" t="s">
        <v>3569</v>
      </c>
      <c r="H606" s="287">
        <v>44443</v>
      </c>
      <c r="I606" s="287" t="s">
        <v>2975</v>
      </c>
      <c r="J606" s="759"/>
    </row>
    <row r="607" spans="1:10" x14ac:dyDescent="0.2">
      <c r="A607" s="944">
        <v>39035151600</v>
      </c>
      <c r="B607" s="239" t="s">
        <v>625</v>
      </c>
      <c r="C607" s="286" t="s">
        <v>4330</v>
      </c>
      <c r="D607" s="865" t="s">
        <v>4330</v>
      </c>
      <c r="E607" s="287" t="s">
        <v>3557</v>
      </c>
      <c r="F607" s="287" t="s">
        <v>3558</v>
      </c>
      <c r="G607" s="288" t="s">
        <v>3569</v>
      </c>
      <c r="H607" s="287">
        <v>44444</v>
      </c>
      <c r="I607" s="287" t="s">
        <v>2975</v>
      </c>
      <c r="J607" s="759"/>
    </row>
    <row r="608" spans="1:10" x14ac:dyDescent="0.2">
      <c r="A608" s="944">
        <v>39035151700</v>
      </c>
      <c r="B608" s="239" t="s">
        <v>626</v>
      </c>
      <c r="C608" s="286" t="s">
        <v>4330</v>
      </c>
      <c r="D608" s="865" t="s">
        <v>4330</v>
      </c>
      <c r="E608" s="287" t="s">
        <v>3557</v>
      </c>
      <c r="F608" s="287" t="s">
        <v>3565</v>
      </c>
      <c r="G608" s="288" t="s">
        <v>3569</v>
      </c>
      <c r="H608" s="287">
        <v>44445</v>
      </c>
      <c r="I608" s="287" t="s">
        <v>2975</v>
      </c>
      <c r="J608" s="759"/>
    </row>
    <row r="609" spans="1:10" x14ac:dyDescent="0.2">
      <c r="A609" s="944">
        <v>39035151800</v>
      </c>
      <c r="B609" s="239" t="s">
        <v>627</v>
      </c>
      <c r="C609" s="286" t="s">
        <v>4330</v>
      </c>
      <c r="D609" s="865" t="s">
        <v>4330</v>
      </c>
      <c r="E609" s="287" t="s">
        <v>3557</v>
      </c>
      <c r="F609" s="287" t="s">
        <v>5176</v>
      </c>
      <c r="G609" s="288" t="s">
        <v>3569</v>
      </c>
      <c r="H609" s="287">
        <v>44446</v>
      </c>
      <c r="I609" s="287" t="s">
        <v>2975</v>
      </c>
      <c r="J609" s="759"/>
    </row>
    <row r="610" spans="1:10" x14ac:dyDescent="0.2">
      <c r="A610" s="944">
        <v>39035152101</v>
      </c>
      <c r="B610" s="239" t="s">
        <v>628</v>
      </c>
      <c r="C610" s="286" t="s">
        <v>2975</v>
      </c>
      <c r="D610" s="865" t="s">
        <v>2975</v>
      </c>
      <c r="E610" s="287" t="s">
        <v>3563</v>
      </c>
      <c r="F610" s="287" t="s">
        <v>3565</v>
      </c>
      <c r="G610" s="288" t="s">
        <v>3569</v>
      </c>
      <c r="H610" s="287">
        <v>44449</v>
      </c>
      <c r="I610" s="287" t="s">
        <v>2975</v>
      </c>
      <c r="J610" s="759"/>
    </row>
    <row r="611" spans="1:10" x14ac:dyDescent="0.2">
      <c r="A611" s="944">
        <v>39035152102</v>
      </c>
      <c r="B611" s="239" t="s">
        <v>629</v>
      </c>
      <c r="C611" s="286" t="s">
        <v>2975</v>
      </c>
      <c r="D611" s="865" t="s">
        <v>2975</v>
      </c>
      <c r="E611" s="287" t="s">
        <v>3564</v>
      </c>
      <c r="F611" s="287" t="s">
        <v>3558</v>
      </c>
      <c r="G611" s="288" t="s">
        <v>3569</v>
      </c>
      <c r="H611" s="287">
        <v>44450</v>
      </c>
      <c r="I611" s="287" t="s">
        <v>2975</v>
      </c>
      <c r="J611" s="759"/>
    </row>
    <row r="612" spans="1:10" x14ac:dyDescent="0.2">
      <c r="A612" s="944">
        <v>39035152201</v>
      </c>
      <c r="B612" s="239" t="s">
        <v>630</v>
      </c>
      <c r="C612" s="286" t="s">
        <v>4330</v>
      </c>
      <c r="D612" s="865" t="s">
        <v>4330</v>
      </c>
      <c r="E612" s="287" t="s">
        <v>3557</v>
      </c>
      <c r="F612" s="287" t="s">
        <v>5176</v>
      </c>
      <c r="G612" s="288" t="s">
        <v>3569</v>
      </c>
      <c r="H612" s="287">
        <v>44451</v>
      </c>
      <c r="I612" s="287" t="s">
        <v>2975</v>
      </c>
      <c r="J612" s="759"/>
    </row>
    <row r="613" spans="1:10" x14ac:dyDescent="0.2">
      <c r="A613" s="944">
        <v>39035152202</v>
      </c>
      <c r="B613" s="239" t="s">
        <v>631</v>
      </c>
      <c r="C613" s="286" t="s">
        <v>2975</v>
      </c>
      <c r="D613" s="865" t="s">
        <v>2975</v>
      </c>
      <c r="E613" s="287" t="s">
        <v>3557</v>
      </c>
      <c r="F613" s="287" t="s">
        <v>3565</v>
      </c>
      <c r="G613" s="288" t="s">
        <v>3569</v>
      </c>
      <c r="H613" s="287">
        <v>44452</v>
      </c>
      <c r="I613" s="287" t="s">
        <v>2975</v>
      </c>
      <c r="J613" s="759"/>
    </row>
    <row r="614" spans="1:10" x14ac:dyDescent="0.2">
      <c r="A614" s="944">
        <v>39035152301</v>
      </c>
      <c r="B614" s="239" t="s">
        <v>632</v>
      </c>
      <c r="C614" s="286" t="s">
        <v>2975</v>
      </c>
      <c r="D614" s="865" t="s">
        <v>2975</v>
      </c>
      <c r="E614" s="287" t="s">
        <v>3557</v>
      </c>
      <c r="F614" s="287" t="s">
        <v>5176</v>
      </c>
      <c r="G614" s="288" t="s">
        <v>3569</v>
      </c>
      <c r="H614" s="287">
        <v>44454</v>
      </c>
      <c r="I614" s="287" t="s">
        <v>2975</v>
      </c>
      <c r="J614" s="759"/>
    </row>
    <row r="615" spans="1:10" x14ac:dyDescent="0.2">
      <c r="A615" s="944">
        <v>39035152302</v>
      </c>
      <c r="B615" s="239" t="s">
        <v>633</v>
      </c>
      <c r="C615" s="286" t="s">
        <v>2975</v>
      </c>
      <c r="D615" s="865" t="s">
        <v>2975</v>
      </c>
      <c r="E615" s="287" t="s">
        <v>3564</v>
      </c>
      <c r="F615" s="287" t="s">
        <v>5176</v>
      </c>
      <c r="G615" s="288" t="s">
        <v>3569</v>
      </c>
      <c r="H615" s="287">
        <v>44455</v>
      </c>
      <c r="I615" s="287" t="s">
        <v>2975</v>
      </c>
      <c r="J615" s="759"/>
    </row>
    <row r="616" spans="1:10" x14ac:dyDescent="0.2">
      <c r="A616" s="944">
        <v>39035152303</v>
      </c>
      <c r="B616" s="239" t="s">
        <v>634</v>
      </c>
      <c r="C616" s="286" t="s">
        <v>2975</v>
      </c>
      <c r="D616" s="865" t="s">
        <v>2975</v>
      </c>
      <c r="E616" s="287" t="s">
        <v>3557</v>
      </c>
      <c r="F616" s="287" t="s">
        <v>5176</v>
      </c>
      <c r="G616" s="288" t="s">
        <v>3569</v>
      </c>
      <c r="H616" s="287">
        <v>44460</v>
      </c>
      <c r="I616" s="287" t="s">
        <v>2975</v>
      </c>
      <c r="J616" s="759"/>
    </row>
    <row r="617" spans="1:10" x14ac:dyDescent="0.2">
      <c r="A617" s="944">
        <v>39035152400</v>
      </c>
      <c r="B617" s="239" t="s">
        <v>635</v>
      </c>
      <c r="C617" s="286" t="s">
        <v>2975</v>
      </c>
      <c r="D617" s="865" t="s">
        <v>2975</v>
      </c>
      <c r="E617" s="287" t="s">
        <v>3557</v>
      </c>
      <c r="F617" s="287" t="s">
        <v>5176</v>
      </c>
      <c r="G617" s="288" t="s">
        <v>3569</v>
      </c>
      <c r="H617" s="287">
        <v>44470</v>
      </c>
      <c r="I617" s="287" t="s">
        <v>2975</v>
      </c>
      <c r="J617" s="759"/>
    </row>
    <row r="618" spans="1:10" x14ac:dyDescent="0.2">
      <c r="A618" s="944">
        <v>39035152501</v>
      </c>
      <c r="B618" s="239" t="s">
        <v>636</v>
      </c>
      <c r="C618" s="286" t="s">
        <v>2975</v>
      </c>
      <c r="D618" s="865" t="s">
        <v>2975</v>
      </c>
      <c r="E618" s="287" t="s">
        <v>3557</v>
      </c>
      <c r="F618" s="287" t="s">
        <v>5176</v>
      </c>
      <c r="G618" s="288" t="s">
        <v>3569</v>
      </c>
      <c r="H618" s="287">
        <v>44471</v>
      </c>
      <c r="I618" s="287" t="s">
        <v>2975</v>
      </c>
      <c r="J618" s="759"/>
    </row>
    <row r="619" spans="1:10" x14ac:dyDescent="0.2">
      <c r="A619" s="944">
        <v>39035152502</v>
      </c>
      <c r="B619" s="239" t="s">
        <v>637</v>
      </c>
      <c r="C619" s="286" t="s">
        <v>2975</v>
      </c>
      <c r="D619" s="865" t="s">
        <v>2975</v>
      </c>
      <c r="E619" s="287" t="s">
        <v>3557</v>
      </c>
      <c r="F619" s="287" t="s">
        <v>5176</v>
      </c>
      <c r="G619" s="288" t="s">
        <v>3569</v>
      </c>
      <c r="H619" s="287">
        <v>44473</v>
      </c>
      <c r="I619" s="287" t="s">
        <v>2975</v>
      </c>
      <c r="J619" s="759"/>
    </row>
    <row r="620" spans="1:10" x14ac:dyDescent="0.2">
      <c r="A620" s="944">
        <v>39035152603</v>
      </c>
      <c r="B620" s="239" t="s">
        <v>638</v>
      </c>
      <c r="C620" s="286" t="s">
        <v>2975</v>
      </c>
      <c r="D620" s="865" t="s">
        <v>2975</v>
      </c>
      <c r="E620" s="287" t="s">
        <v>3557</v>
      </c>
      <c r="F620" s="287" t="s">
        <v>3558</v>
      </c>
      <c r="G620" s="288" t="s">
        <v>3569</v>
      </c>
      <c r="H620" s="287">
        <v>44481</v>
      </c>
      <c r="I620" s="287" t="s">
        <v>2975</v>
      </c>
      <c r="J620" s="759"/>
    </row>
    <row r="621" spans="1:10" x14ac:dyDescent="0.2">
      <c r="A621" s="944">
        <v>39035152604</v>
      </c>
      <c r="B621" s="239" t="s">
        <v>639</v>
      </c>
      <c r="C621" s="286" t="s">
        <v>4330</v>
      </c>
      <c r="D621" s="865" t="s">
        <v>4330</v>
      </c>
      <c r="E621" s="287" t="s">
        <v>3557</v>
      </c>
      <c r="F621" s="287" t="s">
        <v>3559</v>
      </c>
      <c r="G621" s="288" t="s">
        <v>3569</v>
      </c>
      <c r="H621" s="287">
        <v>44483</v>
      </c>
      <c r="I621" s="287" t="s">
        <v>2975</v>
      </c>
      <c r="J621" s="759"/>
    </row>
    <row r="622" spans="1:10" x14ac:dyDescent="0.2">
      <c r="A622" s="944">
        <v>39035152701</v>
      </c>
      <c r="B622" s="239" t="s">
        <v>640</v>
      </c>
      <c r="C622" s="286" t="s">
        <v>4330</v>
      </c>
      <c r="D622" s="865" t="s">
        <v>4330</v>
      </c>
      <c r="E622" s="287" t="s">
        <v>3557</v>
      </c>
      <c r="F622" s="287" t="s">
        <v>3559</v>
      </c>
      <c r="G622" s="288" t="s">
        <v>3569</v>
      </c>
      <c r="H622" s="287">
        <v>44484</v>
      </c>
      <c r="I622" s="287" t="s">
        <v>2975</v>
      </c>
      <c r="J622" s="759"/>
    </row>
    <row r="623" spans="1:10" x14ac:dyDescent="0.2">
      <c r="A623" s="944">
        <v>39035152702</v>
      </c>
      <c r="B623" s="239" t="s">
        <v>641</v>
      </c>
      <c r="C623" s="286" t="s">
        <v>2975</v>
      </c>
      <c r="D623" s="865" t="s">
        <v>2975</v>
      </c>
      <c r="E623" s="287" t="s">
        <v>3557</v>
      </c>
      <c r="F623" s="287" t="s">
        <v>3558</v>
      </c>
      <c r="G623" s="288" t="s">
        <v>3569</v>
      </c>
      <c r="H623" s="287">
        <v>44485</v>
      </c>
      <c r="I623" s="287" t="s">
        <v>2975</v>
      </c>
      <c r="J623" s="759"/>
    </row>
    <row r="624" spans="1:10" x14ac:dyDescent="0.2">
      <c r="A624" s="944">
        <v>39035152703</v>
      </c>
      <c r="B624" s="239" t="s">
        <v>642</v>
      </c>
      <c r="C624" s="286" t="s">
        <v>2975</v>
      </c>
      <c r="D624" s="865" t="s">
        <v>2975</v>
      </c>
      <c r="E624" s="287" t="s">
        <v>3564</v>
      </c>
      <c r="F624" s="287" t="s">
        <v>3565</v>
      </c>
      <c r="G624" s="288" t="s">
        <v>3569</v>
      </c>
      <c r="H624" s="287">
        <v>44490</v>
      </c>
      <c r="I624" s="287" t="s">
        <v>2975</v>
      </c>
      <c r="J624" s="759"/>
    </row>
    <row r="625" spans="1:10" x14ac:dyDescent="0.2">
      <c r="A625" s="944">
        <v>39035153103</v>
      </c>
      <c r="B625" s="239" t="s">
        <v>643</v>
      </c>
      <c r="C625" s="286" t="s">
        <v>2975</v>
      </c>
      <c r="D625" s="865" t="s">
        <v>2975</v>
      </c>
      <c r="E625" s="287" t="s">
        <v>3563</v>
      </c>
      <c r="F625" s="287" t="s">
        <v>3565</v>
      </c>
      <c r="G625" s="288" t="s">
        <v>3569</v>
      </c>
      <c r="H625" s="287">
        <v>44491</v>
      </c>
      <c r="I625" s="287" t="s">
        <v>2975</v>
      </c>
      <c r="J625" s="759"/>
    </row>
    <row r="626" spans="1:10" x14ac:dyDescent="0.2">
      <c r="A626" s="944">
        <v>39035153104</v>
      </c>
      <c r="B626" s="239" t="s">
        <v>644</v>
      </c>
      <c r="C626" s="286" t="s">
        <v>2975</v>
      </c>
      <c r="D626" s="865" t="s">
        <v>2975</v>
      </c>
      <c r="E626" s="287" t="s">
        <v>3566</v>
      </c>
      <c r="F626" s="287" t="s">
        <v>3558</v>
      </c>
      <c r="G626" s="288" t="s">
        <v>3569</v>
      </c>
      <c r="H626" s="287">
        <v>44493</v>
      </c>
      <c r="I626" s="287" t="s">
        <v>2975</v>
      </c>
      <c r="J626" s="759"/>
    </row>
    <row r="627" spans="1:10" x14ac:dyDescent="0.2">
      <c r="A627" s="944">
        <v>39035153105</v>
      </c>
      <c r="B627" s="239" t="s">
        <v>645</v>
      </c>
      <c r="C627" s="286" t="s">
        <v>2975</v>
      </c>
      <c r="D627" s="865" t="s">
        <v>2975</v>
      </c>
      <c r="E627" s="287" t="s">
        <v>3563</v>
      </c>
      <c r="F627" s="287" t="s">
        <v>5176</v>
      </c>
      <c r="G627" s="288" t="s">
        <v>3569</v>
      </c>
      <c r="H627" s="287">
        <v>44502</v>
      </c>
      <c r="I627" s="287" t="s">
        <v>2975</v>
      </c>
      <c r="J627" s="759"/>
    </row>
    <row r="628" spans="1:10" x14ac:dyDescent="0.2">
      <c r="A628" s="944">
        <v>39035153106</v>
      </c>
      <c r="B628" s="239" t="s">
        <v>646</v>
      </c>
      <c r="C628" s="286" t="s">
        <v>2975</v>
      </c>
      <c r="D628" s="865" t="s">
        <v>2975</v>
      </c>
      <c r="E628" s="287" t="s">
        <v>3563</v>
      </c>
      <c r="F628" s="287" t="s">
        <v>5177</v>
      </c>
      <c r="G628" s="288" t="s">
        <v>3569</v>
      </c>
      <c r="H628" s="287">
        <v>44503</v>
      </c>
      <c r="I628" s="287" t="s">
        <v>2975</v>
      </c>
      <c r="J628" s="759"/>
    </row>
    <row r="629" spans="1:10" x14ac:dyDescent="0.2">
      <c r="A629" s="944">
        <v>39035153107</v>
      </c>
      <c r="B629" s="239" t="s">
        <v>647</v>
      </c>
      <c r="C629" s="286" t="s">
        <v>2975</v>
      </c>
      <c r="D629" s="865" t="s">
        <v>2975</v>
      </c>
      <c r="E629" s="287" t="s">
        <v>3563</v>
      </c>
      <c r="F629" s="287" t="s">
        <v>5177</v>
      </c>
      <c r="G629" s="288" t="s">
        <v>3569</v>
      </c>
      <c r="H629" s="287">
        <v>44504</v>
      </c>
      <c r="I629" s="287" t="s">
        <v>2975</v>
      </c>
      <c r="J629" s="759"/>
    </row>
    <row r="630" spans="1:10" x14ac:dyDescent="0.2">
      <c r="A630" s="944">
        <v>39035154100</v>
      </c>
      <c r="B630" s="239" t="s">
        <v>648</v>
      </c>
      <c r="C630" s="286" t="s">
        <v>2975</v>
      </c>
      <c r="D630" s="865" t="s">
        <v>2975</v>
      </c>
      <c r="E630" s="287" t="s">
        <v>3557</v>
      </c>
      <c r="F630" s="287" t="s">
        <v>5176</v>
      </c>
      <c r="G630" s="288" t="s">
        <v>3569</v>
      </c>
      <c r="H630" s="287">
        <v>44505</v>
      </c>
      <c r="I630" s="287" t="s">
        <v>2975</v>
      </c>
      <c r="J630" s="759"/>
    </row>
    <row r="631" spans="1:10" x14ac:dyDescent="0.2">
      <c r="A631" s="944">
        <v>39035154200</v>
      </c>
      <c r="B631" s="239" t="s">
        <v>649</v>
      </c>
      <c r="C631" s="286" t="s">
        <v>4330</v>
      </c>
      <c r="D631" s="865" t="s">
        <v>4330</v>
      </c>
      <c r="E631" s="287" t="s">
        <v>3557</v>
      </c>
      <c r="F631" s="287" t="s">
        <v>3558</v>
      </c>
      <c r="G631" s="288" t="s">
        <v>3569</v>
      </c>
      <c r="H631" s="287">
        <v>44506</v>
      </c>
      <c r="I631" s="287" t="s">
        <v>2975</v>
      </c>
      <c r="J631" s="759"/>
    </row>
    <row r="632" spans="1:10" x14ac:dyDescent="0.2">
      <c r="A632" s="944">
        <v>39035154300</v>
      </c>
      <c r="B632" s="239" t="s">
        <v>650</v>
      </c>
      <c r="C632" s="286" t="s">
        <v>4330</v>
      </c>
      <c r="D632" s="865" t="s">
        <v>4330</v>
      </c>
      <c r="E632" s="287" t="s">
        <v>3557</v>
      </c>
      <c r="F632" s="287" t="s">
        <v>3560</v>
      </c>
      <c r="G632" s="288" t="s">
        <v>3569</v>
      </c>
      <c r="H632" s="287">
        <v>44507</v>
      </c>
      <c r="I632" s="287" t="s">
        <v>2975</v>
      </c>
      <c r="J632" s="759"/>
    </row>
    <row r="633" spans="1:10" x14ac:dyDescent="0.2">
      <c r="A633" s="944">
        <v>39035154400</v>
      </c>
      <c r="B633" s="239" t="s">
        <v>651</v>
      </c>
      <c r="C633" s="286" t="s">
        <v>2975</v>
      </c>
      <c r="D633" s="865" t="s">
        <v>2975</v>
      </c>
      <c r="E633" s="287" t="s">
        <v>3557</v>
      </c>
      <c r="F633" s="287" t="s">
        <v>5177</v>
      </c>
      <c r="G633" s="288" t="s">
        <v>3569</v>
      </c>
      <c r="H633" s="287">
        <v>44509</v>
      </c>
      <c r="I633" s="287" t="s">
        <v>2975</v>
      </c>
      <c r="J633" s="759"/>
    </row>
    <row r="634" spans="1:10" x14ac:dyDescent="0.2">
      <c r="A634" s="944">
        <v>39035154501</v>
      </c>
      <c r="B634" s="239" t="s">
        <v>652</v>
      </c>
      <c r="C634" s="286" t="s">
        <v>4330</v>
      </c>
      <c r="D634" s="865" t="s">
        <v>4330</v>
      </c>
      <c r="E634" s="287" t="s">
        <v>3564</v>
      </c>
      <c r="F634" s="287" t="s">
        <v>5176</v>
      </c>
      <c r="G634" s="288" t="s">
        <v>3569</v>
      </c>
      <c r="H634" s="287">
        <v>44510</v>
      </c>
      <c r="I634" s="287" t="s">
        <v>2975</v>
      </c>
      <c r="J634" s="759"/>
    </row>
    <row r="635" spans="1:10" x14ac:dyDescent="0.2">
      <c r="A635" s="944">
        <v>39035154502</v>
      </c>
      <c r="B635" s="239" t="s">
        <v>653</v>
      </c>
      <c r="C635" s="286" t="s">
        <v>2975</v>
      </c>
      <c r="D635" s="865" t="s">
        <v>2975</v>
      </c>
      <c r="E635" s="287" t="s">
        <v>3557</v>
      </c>
      <c r="F635" s="287" t="s">
        <v>3565</v>
      </c>
      <c r="G635" s="288" t="s">
        <v>3569</v>
      </c>
      <c r="H635" s="287">
        <v>44511</v>
      </c>
      <c r="I635" s="287" t="s">
        <v>2975</v>
      </c>
      <c r="J635" s="759"/>
    </row>
    <row r="636" spans="1:10" x14ac:dyDescent="0.2">
      <c r="A636" s="944">
        <v>39035154601</v>
      </c>
      <c r="B636" s="239" t="s">
        <v>654</v>
      </c>
      <c r="C636" s="286" t="s">
        <v>2975</v>
      </c>
      <c r="D636" s="865" t="s">
        <v>2975</v>
      </c>
      <c r="E636" s="287" t="s">
        <v>3557</v>
      </c>
      <c r="F636" s="287" t="s">
        <v>5176</v>
      </c>
      <c r="G636" s="288" t="s">
        <v>3569</v>
      </c>
      <c r="H636" s="287">
        <v>44512</v>
      </c>
      <c r="I636" s="287" t="s">
        <v>2975</v>
      </c>
      <c r="J636" s="759"/>
    </row>
    <row r="637" spans="1:10" x14ac:dyDescent="0.2">
      <c r="A637" s="944">
        <v>39035154603</v>
      </c>
      <c r="B637" s="239" t="s">
        <v>655</v>
      </c>
      <c r="C637" s="286" t="s">
        <v>2975</v>
      </c>
      <c r="D637" s="865" t="s">
        <v>2975</v>
      </c>
      <c r="E637" s="287" t="s">
        <v>3564</v>
      </c>
      <c r="F637" s="287" t="s">
        <v>5176</v>
      </c>
      <c r="G637" s="288" t="s">
        <v>3569</v>
      </c>
      <c r="H637" s="287">
        <v>44514</v>
      </c>
      <c r="I637" s="287" t="s">
        <v>2975</v>
      </c>
      <c r="J637" s="759"/>
    </row>
    <row r="638" spans="1:10" x14ac:dyDescent="0.2">
      <c r="A638" s="944">
        <v>39035154604</v>
      </c>
      <c r="B638" s="239" t="s">
        <v>656</v>
      </c>
      <c r="C638" s="286" t="s">
        <v>2975</v>
      </c>
      <c r="D638" s="865" t="s">
        <v>2975</v>
      </c>
      <c r="E638" s="287" t="s">
        <v>3564</v>
      </c>
      <c r="F638" s="287" t="s">
        <v>5176</v>
      </c>
      <c r="G638" s="288" t="s">
        <v>3569</v>
      </c>
      <c r="H638" s="287">
        <v>44515</v>
      </c>
      <c r="I638" s="287" t="s">
        <v>2975</v>
      </c>
      <c r="J638" s="759"/>
    </row>
    <row r="639" spans="1:10" x14ac:dyDescent="0.2">
      <c r="A639" s="944">
        <v>39035154700</v>
      </c>
      <c r="B639" s="239" t="s">
        <v>657</v>
      </c>
      <c r="C639" s="286" t="s">
        <v>4330</v>
      </c>
      <c r="D639" s="865" t="s">
        <v>4330</v>
      </c>
      <c r="E639" s="287" t="s">
        <v>3557</v>
      </c>
      <c r="F639" s="287" t="s">
        <v>3558</v>
      </c>
      <c r="G639" s="288" t="s">
        <v>3569</v>
      </c>
      <c r="H639" s="287">
        <v>44601</v>
      </c>
      <c r="I639" s="287" t="s">
        <v>2975</v>
      </c>
      <c r="J639" s="759"/>
    </row>
    <row r="640" spans="1:10" x14ac:dyDescent="0.2">
      <c r="A640" s="944">
        <v>39035155101</v>
      </c>
      <c r="B640" s="239" t="s">
        <v>658</v>
      </c>
      <c r="C640" s="286" t="s">
        <v>2975</v>
      </c>
      <c r="D640" s="865" t="s">
        <v>2975</v>
      </c>
      <c r="E640" s="287" t="s">
        <v>3562</v>
      </c>
      <c r="F640" s="287" t="s">
        <v>3565</v>
      </c>
      <c r="G640" s="288" t="s">
        <v>3569</v>
      </c>
      <c r="H640" s="287">
        <v>44606</v>
      </c>
      <c r="I640" s="287" t="s">
        <v>2975</v>
      </c>
      <c r="J640" s="759"/>
    </row>
    <row r="641" spans="1:10" x14ac:dyDescent="0.2">
      <c r="A641" s="944">
        <v>39035155102</v>
      </c>
      <c r="B641" s="239" t="s">
        <v>659</v>
      </c>
      <c r="C641" s="286" t="s">
        <v>2975</v>
      </c>
      <c r="D641" s="865" t="s">
        <v>2975</v>
      </c>
      <c r="E641" s="287" t="s">
        <v>3562</v>
      </c>
      <c r="F641" s="287" t="s">
        <v>3565</v>
      </c>
      <c r="G641" s="288" t="s">
        <v>3569</v>
      </c>
      <c r="H641" s="287">
        <v>44607</v>
      </c>
      <c r="I641" s="287" t="s">
        <v>2975</v>
      </c>
      <c r="J641" s="759"/>
    </row>
    <row r="642" spans="1:10" x14ac:dyDescent="0.2">
      <c r="A642" s="944">
        <v>39035156101</v>
      </c>
      <c r="B642" s="239" t="s">
        <v>660</v>
      </c>
      <c r="C642" s="286" t="s">
        <v>2975</v>
      </c>
      <c r="D642" s="865" t="s">
        <v>2975</v>
      </c>
      <c r="E642" s="287" t="s">
        <v>3562</v>
      </c>
      <c r="F642" s="287" t="s">
        <v>5177</v>
      </c>
      <c r="G642" s="288" t="s">
        <v>3569</v>
      </c>
      <c r="H642" s="287">
        <v>44608</v>
      </c>
      <c r="I642" s="287" t="s">
        <v>2975</v>
      </c>
      <c r="J642" s="759"/>
    </row>
    <row r="643" spans="1:10" x14ac:dyDescent="0.2">
      <c r="A643" s="944">
        <v>39035156102</v>
      </c>
      <c r="B643" s="239" t="s">
        <v>661</v>
      </c>
      <c r="C643" s="286" t="s">
        <v>2975</v>
      </c>
      <c r="D643" s="865" t="s">
        <v>2975</v>
      </c>
      <c r="E643" s="287" t="s">
        <v>3562</v>
      </c>
      <c r="F643" s="287" t="s">
        <v>5177</v>
      </c>
      <c r="G643" s="288" t="s">
        <v>3569</v>
      </c>
      <c r="H643" s="287">
        <v>44609</v>
      </c>
      <c r="I643" s="287" t="s">
        <v>2975</v>
      </c>
      <c r="J643" s="759"/>
    </row>
    <row r="644" spans="1:10" x14ac:dyDescent="0.2">
      <c r="A644" s="944">
        <v>39035160100</v>
      </c>
      <c r="B644" s="239" t="s">
        <v>662</v>
      </c>
      <c r="C644" s="286" t="s">
        <v>2975</v>
      </c>
      <c r="D644" s="865" t="s">
        <v>2975</v>
      </c>
      <c r="E644" s="287" t="s">
        <v>3562</v>
      </c>
      <c r="F644" s="287" t="s">
        <v>5177</v>
      </c>
      <c r="G644" s="288" t="s">
        <v>3569</v>
      </c>
      <c r="H644" s="287">
        <v>44610</v>
      </c>
      <c r="I644" s="287" t="s">
        <v>2975</v>
      </c>
      <c r="J644" s="759"/>
    </row>
    <row r="645" spans="1:10" x14ac:dyDescent="0.2">
      <c r="A645" s="944">
        <v>39035160200</v>
      </c>
      <c r="B645" s="239" t="s">
        <v>663</v>
      </c>
      <c r="C645" s="286" t="s">
        <v>2975</v>
      </c>
      <c r="D645" s="865" t="s">
        <v>2975</v>
      </c>
      <c r="E645" s="287" t="s">
        <v>3563</v>
      </c>
      <c r="F645" s="287" t="s">
        <v>5177</v>
      </c>
      <c r="G645" s="288" t="s">
        <v>3569</v>
      </c>
      <c r="H645" s="287">
        <v>44611</v>
      </c>
      <c r="I645" s="287" t="s">
        <v>2975</v>
      </c>
      <c r="J645" s="759"/>
    </row>
    <row r="646" spans="1:10" x14ac:dyDescent="0.2">
      <c r="A646" s="944">
        <v>39035160300</v>
      </c>
      <c r="B646" s="239" t="s">
        <v>664</v>
      </c>
      <c r="C646" s="286" t="s">
        <v>2975</v>
      </c>
      <c r="D646" s="865" t="s">
        <v>2975</v>
      </c>
      <c r="E646" s="287" t="s">
        <v>3563</v>
      </c>
      <c r="F646" s="287" t="s">
        <v>3565</v>
      </c>
      <c r="G646" s="288" t="s">
        <v>3569</v>
      </c>
      <c r="H646" s="287">
        <v>44612</v>
      </c>
      <c r="I646" s="287" t="s">
        <v>2975</v>
      </c>
      <c r="J646" s="759"/>
    </row>
    <row r="647" spans="1:10" x14ac:dyDescent="0.2">
      <c r="A647" s="944">
        <v>39035160400</v>
      </c>
      <c r="B647" s="239" t="s">
        <v>665</v>
      </c>
      <c r="C647" s="286" t="s">
        <v>2975</v>
      </c>
      <c r="D647" s="865" t="s">
        <v>2975</v>
      </c>
      <c r="E647" s="287" t="s">
        <v>3563</v>
      </c>
      <c r="F647" s="287" t="s">
        <v>3559</v>
      </c>
      <c r="G647" s="288" t="s">
        <v>3569</v>
      </c>
      <c r="H647" s="287">
        <v>44613</v>
      </c>
      <c r="I647" s="287" t="s">
        <v>2975</v>
      </c>
      <c r="J647" s="759"/>
    </row>
    <row r="648" spans="1:10" x14ac:dyDescent="0.2">
      <c r="A648" s="944">
        <v>39035160500</v>
      </c>
      <c r="B648" s="239" t="s">
        <v>666</v>
      </c>
      <c r="C648" s="286" t="s">
        <v>2975</v>
      </c>
      <c r="D648" s="865" t="s">
        <v>2975</v>
      </c>
      <c r="E648" s="287" t="s">
        <v>3566</v>
      </c>
      <c r="F648" s="287" t="s">
        <v>5177</v>
      </c>
      <c r="G648" s="288" t="s">
        <v>3569</v>
      </c>
      <c r="H648" s="287">
        <v>44614</v>
      </c>
      <c r="I648" s="287" t="s">
        <v>2975</v>
      </c>
      <c r="J648" s="759"/>
    </row>
    <row r="649" spans="1:10" x14ac:dyDescent="0.2">
      <c r="A649" s="944">
        <v>39035160601</v>
      </c>
      <c r="B649" s="239" t="s">
        <v>667</v>
      </c>
      <c r="C649" s="286" t="s">
        <v>2975</v>
      </c>
      <c r="D649" s="865" t="s">
        <v>2975</v>
      </c>
      <c r="E649" s="287" t="s">
        <v>3566</v>
      </c>
      <c r="F649" s="287" t="s">
        <v>5176</v>
      </c>
      <c r="G649" s="288" t="s">
        <v>3569</v>
      </c>
      <c r="H649" s="287">
        <v>44615</v>
      </c>
      <c r="I649" s="287" t="s">
        <v>2975</v>
      </c>
      <c r="J649" s="759"/>
    </row>
    <row r="650" spans="1:10" x14ac:dyDescent="0.2">
      <c r="A650" s="944">
        <v>39035160602</v>
      </c>
      <c r="B650" s="239" t="s">
        <v>668</v>
      </c>
      <c r="C650" s="286" t="s">
        <v>4330</v>
      </c>
      <c r="D650" s="865" t="s">
        <v>4330</v>
      </c>
      <c r="E650" s="287" t="s">
        <v>3564</v>
      </c>
      <c r="F650" s="287" t="s">
        <v>3559</v>
      </c>
      <c r="G650" s="288" t="s">
        <v>3569</v>
      </c>
      <c r="H650" s="287">
        <v>44618</v>
      </c>
      <c r="I650" s="287" t="s">
        <v>2975</v>
      </c>
      <c r="J650" s="759"/>
    </row>
    <row r="651" spans="1:10" x14ac:dyDescent="0.2">
      <c r="A651" s="944">
        <v>39035160700</v>
      </c>
      <c r="B651" s="239" t="s">
        <v>669</v>
      </c>
      <c r="C651" s="286" t="s">
        <v>2975</v>
      </c>
      <c r="D651" s="865" t="s">
        <v>2975</v>
      </c>
      <c r="E651" s="287" t="s">
        <v>3562</v>
      </c>
      <c r="F651" s="287" t="s">
        <v>5177</v>
      </c>
      <c r="G651" s="288" t="s">
        <v>3569</v>
      </c>
      <c r="H651" s="287">
        <v>44620</v>
      </c>
      <c r="I651" s="287" t="s">
        <v>2975</v>
      </c>
      <c r="J651" s="759"/>
    </row>
    <row r="652" spans="1:10" x14ac:dyDescent="0.2">
      <c r="A652" s="944">
        <v>39035160800</v>
      </c>
      <c r="B652" s="239" t="s">
        <v>670</v>
      </c>
      <c r="C652" s="286" t="s">
        <v>2975</v>
      </c>
      <c r="D652" s="865" t="s">
        <v>2975</v>
      </c>
      <c r="E652" s="287" t="s">
        <v>3562</v>
      </c>
      <c r="F652" s="287" t="s">
        <v>5177</v>
      </c>
      <c r="G652" s="288" t="s">
        <v>3569</v>
      </c>
      <c r="H652" s="287">
        <v>44621</v>
      </c>
      <c r="I652" s="287" t="s">
        <v>2975</v>
      </c>
      <c r="J652" s="759"/>
    </row>
    <row r="653" spans="1:10" x14ac:dyDescent="0.2">
      <c r="A653" s="944">
        <v>39035160900</v>
      </c>
      <c r="B653" s="239" t="s">
        <v>671</v>
      </c>
      <c r="C653" s="286" t="s">
        <v>2975</v>
      </c>
      <c r="D653" s="865" t="s">
        <v>2975</v>
      </c>
      <c r="E653" s="287" t="s">
        <v>3566</v>
      </c>
      <c r="F653" s="287" t="s">
        <v>5176</v>
      </c>
      <c r="G653" s="288" t="s">
        <v>3569</v>
      </c>
      <c r="H653" s="287">
        <v>44622</v>
      </c>
      <c r="I653" s="287" t="s">
        <v>2975</v>
      </c>
      <c r="J653" s="759"/>
    </row>
    <row r="654" spans="1:10" x14ac:dyDescent="0.2">
      <c r="A654" s="944">
        <v>39035161000</v>
      </c>
      <c r="B654" s="239" t="s">
        <v>672</v>
      </c>
      <c r="C654" s="286" t="s">
        <v>2975</v>
      </c>
      <c r="D654" s="865" t="s">
        <v>2975</v>
      </c>
      <c r="E654" s="287" t="s">
        <v>3562</v>
      </c>
      <c r="F654" s="287" t="s">
        <v>3561</v>
      </c>
      <c r="G654" s="288" t="s">
        <v>3569</v>
      </c>
      <c r="H654" s="287">
        <v>44624</v>
      </c>
      <c r="I654" s="287" t="s">
        <v>2975</v>
      </c>
      <c r="J654" s="759"/>
    </row>
    <row r="655" spans="1:10" x14ac:dyDescent="0.2">
      <c r="A655" s="944">
        <v>39035161100</v>
      </c>
      <c r="B655" s="239" t="s">
        <v>673</v>
      </c>
      <c r="C655" s="286" t="s">
        <v>2975</v>
      </c>
      <c r="D655" s="865" t="s">
        <v>2975</v>
      </c>
      <c r="E655" s="287" t="s">
        <v>3562</v>
      </c>
      <c r="F655" s="287" t="s">
        <v>5177</v>
      </c>
      <c r="G655" s="288" t="s">
        <v>3569</v>
      </c>
      <c r="H655" s="287">
        <v>44625</v>
      </c>
      <c r="I655" s="287" t="s">
        <v>2975</v>
      </c>
      <c r="J655" s="759"/>
    </row>
    <row r="656" spans="1:10" x14ac:dyDescent="0.2">
      <c r="A656" s="944">
        <v>39035161200</v>
      </c>
      <c r="B656" s="239" t="s">
        <v>674</v>
      </c>
      <c r="C656" s="286" t="s">
        <v>2975</v>
      </c>
      <c r="D656" s="865" t="s">
        <v>2975</v>
      </c>
      <c r="E656" s="287" t="s">
        <v>3563</v>
      </c>
      <c r="F656" s="287" t="s">
        <v>3559</v>
      </c>
      <c r="G656" s="288" t="s">
        <v>3569</v>
      </c>
      <c r="H656" s="287">
        <v>44626</v>
      </c>
      <c r="I656" s="287" t="s">
        <v>2975</v>
      </c>
      <c r="J656" s="759"/>
    </row>
    <row r="657" spans="1:10" x14ac:dyDescent="0.2">
      <c r="A657" s="944">
        <v>39035161300</v>
      </c>
      <c r="B657" s="239" t="s">
        <v>675</v>
      </c>
      <c r="C657" s="286" t="s">
        <v>2975</v>
      </c>
      <c r="D657" s="865" t="s">
        <v>2975</v>
      </c>
      <c r="E657" s="287" t="s">
        <v>3563</v>
      </c>
      <c r="F657" s="287" t="s">
        <v>3559</v>
      </c>
      <c r="G657" s="288" t="s">
        <v>3569</v>
      </c>
      <c r="H657" s="287">
        <v>44627</v>
      </c>
      <c r="I657" s="287" t="s">
        <v>2975</v>
      </c>
      <c r="J657" s="759"/>
    </row>
    <row r="658" spans="1:10" x14ac:dyDescent="0.2">
      <c r="A658" s="944">
        <v>39035161400</v>
      </c>
      <c r="B658" s="239" t="s">
        <v>676</v>
      </c>
      <c r="C658" s="286" t="s">
        <v>2975</v>
      </c>
      <c r="D658" s="865" t="s">
        <v>2975</v>
      </c>
      <c r="E658" s="287" t="s">
        <v>3563</v>
      </c>
      <c r="F658" s="287" t="s">
        <v>3559</v>
      </c>
      <c r="G658" s="288" t="s">
        <v>3569</v>
      </c>
      <c r="H658" s="287">
        <v>44628</v>
      </c>
      <c r="I658" s="287" t="s">
        <v>2975</v>
      </c>
      <c r="J658" s="759"/>
    </row>
    <row r="659" spans="1:10" x14ac:dyDescent="0.2">
      <c r="A659" s="944">
        <v>39035161500</v>
      </c>
      <c r="B659" s="239" t="s">
        <v>677</v>
      </c>
      <c r="C659" s="286" t="s">
        <v>2975</v>
      </c>
      <c r="D659" s="865" t="s">
        <v>2975</v>
      </c>
      <c r="E659" s="287" t="s">
        <v>3563</v>
      </c>
      <c r="F659" s="287" t="s">
        <v>5177</v>
      </c>
      <c r="G659" s="288" t="s">
        <v>3569</v>
      </c>
      <c r="H659" s="287">
        <v>44629</v>
      </c>
      <c r="I659" s="287" t="s">
        <v>2975</v>
      </c>
      <c r="J659" s="759"/>
    </row>
    <row r="660" spans="1:10" x14ac:dyDescent="0.2">
      <c r="A660" s="944">
        <v>39035161600</v>
      </c>
      <c r="B660" s="239" t="s">
        <v>678</v>
      </c>
      <c r="C660" s="286" t="s">
        <v>2975</v>
      </c>
      <c r="D660" s="865" t="s">
        <v>2975</v>
      </c>
      <c r="E660" s="287" t="s">
        <v>3566</v>
      </c>
      <c r="F660" s="287" t="s">
        <v>3565</v>
      </c>
      <c r="G660" s="288" t="s">
        <v>3569</v>
      </c>
      <c r="H660" s="287">
        <v>44632</v>
      </c>
      <c r="I660" s="287" t="s">
        <v>2975</v>
      </c>
      <c r="J660" s="759"/>
    </row>
    <row r="661" spans="1:10" x14ac:dyDescent="0.2">
      <c r="A661" s="944">
        <v>39035161700</v>
      </c>
      <c r="B661" s="239" t="s">
        <v>679</v>
      </c>
      <c r="C661" s="286" t="s">
        <v>4330</v>
      </c>
      <c r="D661" s="865" t="s">
        <v>4330</v>
      </c>
      <c r="E661" s="287" t="s">
        <v>3557</v>
      </c>
      <c r="F661" s="287" t="s">
        <v>3558</v>
      </c>
      <c r="G661" s="288" t="s">
        <v>3569</v>
      </c>
      <c r="H661" s="287">
        <v>44633</v>
      </c>
      <c r="I661" s="287" t="s">
        <v>2975</v>
      </c>
      <c r="J661" s="759"/>
    </row>
    <row r="662" spans="1:10" x14ac:dyDescent="0.2">
      <c r="A662" s="944">
        <v>39035161800</v>
      </c>
      <c r="B662" s="239" t="s">
        <v>680</v>
      </c>
      <c r="C662" s="286" t="s">
        <v>4330</v>
      </c>
      <c r="D662" s="865" t="s">
        <v>4330</v>
      </c>
      <c r="E662" s="287" t="s">
        <v>3557</v>
      </c>
      <c r="F662" s="287" t="s">
        <v>3559</v>
      </c>
      <c r="G662" s="288" t="s">
        <v>3569</v>
      </c>
      <c r="H662" s="287">
        <v>44634</v>
      </c>
      <c r="I662" s="287" t="s">
        <v>2975</v>
      </c>
      <c r="J662" s="759"/>
    </row>
    <row r="663" spans="1:10" x14ac:dyDescent="0.2">
      <c r="A663" s="944">
        <v>39035170101</v>
      </c>
      <c r="B663" s="239" t="s">
        <v>681</v>
      </c>
      <c r="C663" s="286" t="s">
        <v>2975</v>
      </c>
      <c r="D663" s="865" t="s">
        <v>2975</v>
      </c>
      <c r="E663" s="287" t="s">
        <v>3563</v>
      </c>
      <c r="F663" s="287" t="s">
        <v>5176</v>
      </c>
      <c r="G663" s="288" t="s">
        <v>3569</v>
      </c>
      <c r="H663" s="287">
        <v>44637</v>
      </c>
      <c r="I663" s="287" t="s">
        <v>2975</v>
      </c>
      <c r="J663" s="759"/>
    </row>
    <row r="664" spans="1:10" x14ac:dyDescent="0.2">
      <c r="A664" s="944">
        <v>39035170102</v>
      </c>
      <c r="B664" s="239" t="s">
        <v>682</v>
      </c>
      <c r="C664" s="286" t="s">
        <v>2975</v>
      </c>
      <c r="D664" s="865" t="s">
        <v>2975</v>
      </c>
      <c r="E664" s="287" t="s">
        <v>3563</v>
      </c>
      <c r="F664" s="287" t="s">
        <v>3559</v>
      </c>
      <c r="G664" s="288" t="s">
        <v>3569</v>
      </c>
      <c r="H664" s="287">
        <v>44638</v>
      </c>
      <c r="I664" s="287" t="s">
        <v>2975</v>
      </c>
      <c r="J664" s="759"/>
    </row>
    <row r="665" spans="1:10" x14ac:dyDescent="0.2">
      <c r="A665" s="944">
        <v>39035170201</v>
      </c>
      <c r="B665" s="239" t="s">
        <v>683</v>
      </c>
      <c r="C665" s="286" t="s">
        <v>2975</v>
      </c>
      <c r="D665" s="865" t="s">
        <v>2975</v>
      </c>
      <c r="E665" s="287" t="s">
        <v>3563</v>
      </c>
      <c r="F665" s="287" t="s">
        <v>3559</v>
      </c>
      <c r="G665" s="288" t="s">
        <v>3569</v>
      </c>
      <c r="H665" s="287">
        <v>44640</v>
      </c>
      <c r="I665" s="287" t="s">
        <v>2975</v>
      </c>
      <c r="J665" s="759"/>
    </row>
    <row r="666" spans="1:10" x14ac:dyDescent="0.2">
      <c r="A666" s="944">
        <v>39035170202</v>
      </c>
      <c r="B666" s="239" t="s">
        <v>684</v>
      </c>
      <c r="C666" s="286" t="s">
        <v>2975</v>
      </c>
      <c r="D666" s="865" t="s">
        <v>2975</v>
      </c>
      <c r="E666" s="287" t="s">
        <v>3563</v>
      </c>
      <c r="F666" s="287" t="s">
        <v>3559</v>
      </c>
      <c r="G666" s="288" t="s">
        <v>3569</v>
      </c>
      <c r="H666" s="287">
        <v>44641</v>
      </c>
      <c r="I666" s="287" t="s">
        <v>2975</v>
      </c>
      <c r="J666" s="759"/>
    </row>
    <row r="667" spans="1:10" x14ac:dyDescent="0.2">
      <c r="A667" s="944">
        <v>39035171102</v>
      </c>
      <c r="B667" s="239" t="s">
        <v>685</v>
      </c>
      <c r="C667" s="286" t="s">
        <v>2975</v>
      </c>
      <c r="D667" s="865" t="s">
        <v>2975</v>
      </c>
      <c r="E667" s="287" t="s">
        <v>3557</v>
      </c>
      <c r="F667" s="287" t="s">
        <v>3558</v>
      </c>
      <c r="G667" s="288" t="s">
        <v>3569</v>
      </c>
      <c r="H667" s="287">
        <v>44643</v>
      </c>
      <c r="I667" s="287" t="s">
        <v>2975</v>
      </c>
      <c r="J667" s="759"/>
    </row>
    <row r="668" spans="1:10" x14ac:dyDescent="0.2">
      <c r="A668" s="944">
        <v>39035171103</v>
      </c>
      <c r="B668" s="239" t="s">
        <v>686</v>
      </c>
      <c r="C668" s="286" t="s">
        <v>2975</v>
      </c>
      <c r="D668" s="865" t="s">
        <v>2975</v>
      </c>
      <c r="E668" s="287" t="s">
        <v>3557</v>
      </c>
      <c r="F668" s="287" t="s">
        <v>5176</v>
      </c>
      <c r="G668" s="288" t="s">
        <v>3569</v>
      </c>
      <c r="H668" s="287">
        <v>44644</v>
      </c>
      <c r="I668" s="287" t="s">
        <v>2975</v>
      </c>
      <c r="J668" s="759"/>
    </row>
    <row r="669" spans="1:10" x14ac:dyDescent="0.2">
      <c r="A669" s="944">
        <v>39035171104</v>
      </c>
      <c r="B669" s="239" t="s">
        <v>687</v>
      </c>
      <c r="C669" s="286" t="s">
        <v>4330</v>
      </c>
      <c r="D669" s="865" t="s">
        <v>4330</v>
      </c>
      <c r="E669" s="287" t="s">
        <v>3557</v>
      </c>
      <c r="F669" s="287" t="s">
        <v>3565</v>
      </c>
      <c r="G669" s="288" t="s">
        <v>3569</v>
      </c>
      <c r="H669" s="287">
        <v>44645</v>
      </c>
      <c r="I669" s="287" t="s">
        <v>2975</v>
      </c>
      <c r="J669" s="759"/>
    </row>
    <row r="670" spans="1:10" x14ac:dyDescent="0.2">
      <c r="A670" s="944">
        <v>39035171203</v>
      </c>
      <c r="B670" s="239" t="s">
        <v>688</v>
      </c>
      <c r="C670" s="286" t="s">
        <v>2975</v>
      </c>
      <c r="D670" s="865" t="s">
        <v>2975</v>
      </c>
      <c r="E670" s="287" t="s">
        <v>3557</v>
      </c>
      <c r="F670" s="287" t="s">
        <v>5176</v>
      </c>
      <c r="G670" s="288" t="s">
        <v>3569</v>
      </c>
      <c r="H670" s="287">
        <v>44646</v>
      </c>
      <c r="I670" s="287" t="s">
        <v>2975</v>
      </c>
      <c r="J670" s="759"/>
    </row>
    <row r="671" spans="1:10" x14ac:dyDescent="0.2">
      <c r="A671" s="944">
        <v>39035171204</v>
      </c>
      <c r="B671" s="239" t="s">
        <v>689</v>
      </c>
      <c r="C671" s="286" t="s">
        <v>2975</v>
      </c>
      <c r="D671" s="865" t="s">
        <v>2975</v>
      </c>
      <c r="E671" s="287" t="s">
        <v>3564</v>
      </c>
      <c r="F671" s="287" t="s">
        <v>3558</v>
      </c>
      <c r="G671" s="288" t="s">
        <v>3569</v>
      </c>
      <c r="H671" s="287">
        <v>44647</v>
      </c>
      <c r="I671" s="287" t="s">
        <v>2975</v>
      </c>
      <c r="J671" s="759"/>
    </row>
    <row r="672" spans="1:10" x14ac:dyDescent="0.2">
      <c r="A672" s="944">
        <v>39035171205</v>
      </c>
      <c r="B672" s="239" t="s">
        <v>690</v>
      </c>
      <c r="C672" s="286" t="s">
        <v>2975</v>
      </c>
      <c r="D672" s="865" t="s">
        <v>2975</v>
      </c>
      <c r="E672" s="287" t="s">
        <v>3557</v>
      </c>
      <c r="F672" s="287" t="s">
        <v>3558</v>
      </c>
      <c r="G672" s="288" t="s">
        <v>3569</v>
      </c>
      <c r="H672" s="287">
        <v>44651</v>
      </c>
      <c r="I672" s="287" t="s">
        <v>2975</v>
      </c>
      <c r="J672" s="759"/>
    </row>
    <row r="673" spans="1:10" x14ac:dyDescent="0.2">
      <c r="A673" s="944">
        <v>39035171206</v>
      </c>
      <c r="B673" s="239" t="s">
        <v>691</v>
      </c>
      <c r="C673" s="286" t="s">
        <v>2975</v>
      </c>
      <c r="D673" s="865" t="s">
        <v>2975</v>
      </c>
      <c r="E673" s="287" t="s">
        <v>3557</v>
      </c>
      <c r="F673" s="287" t="s">
        <v>5176</v>
      </c>
      <c r="G673" s="288" t="s">
        <v>3569</v>
      </c>
      <c r="H673" s="287">
        <v>44652</v>
      </c>
      <c r="I673" s="287" t="s">
        <v>2975</v>
      </c>
      <c r="J673" s="759"/>
    </row>
    <row r="674" spans="1:10" x14ac:dyDescent="0.2">
      <c r="A674" s="944">
        <v>39035172101</v>
      </c>
      <c r="B674" s="239" t="s">
        <v>692</v>
      </c>
      <c r="C674" s="286" t="s">
        <v>2975</v>
      </c>
      <c r="D674" s="865" t="s">
        <v>2975</v>
      </c>
      <c r="E674" s="287" t="s">
        <v>3563</v>
      </c>
      <c r="F674" s="287" t="s">
        <v>5176</v>
      </c>
      <c r="G674" s="288" t="s">
        <v>3569</v>
      </c>
      <c r="H674" s="287">
        <v>44653</v>
      </c>
      <c r="I674" s="287" t="s">
        <v>2975</v>
      </c>
      <c r="J674" s="759"/>
    </row>
    <row r="675" spans="1:10" x14ac:dyDescent="0.2">
      <c r="A675" s="944">
        <v>39035172102</v>
      </c>
      <c r="B675" s="239" t="s">
        <v>693</v>
      </c>
      <c r="C675" s="286" t="s">
        <v>2975</v>
      </c>
      <c r="D675" s="865" t="s">
        <v>2975</v>
      </c>
      <c r="E675" s="287" t="s">
        <v>3562</v>
      </c>
      <c r="F675" s="287" t="s">
        <v>5176</v>
      </c>
      <c r="G675" s="288" t="s">
        <v>3569</v>
      </c>
      <c r="H675" s="287">
        <v>44654</v>
      </c>
      <c r="I675" s="287" t="s">
        <v>2975</v>
      </c>
      <c r="J675" s="759"/>
    </row>
    <row r="676" spans="1:10" x14ac:dyDescent="0.2">
      <c r="A676" s="944">
        <v>39035172103</v>
      </c>
      <c r="B676" s="239" t="s">
        <v>694</v>
      </c>
      <c r="C676" s="286" t="s">
        <v>2975</v>
      </c>
      <c r="D676" s="865" t="s">
        <v>2975</v>
      </c>
      <c r="E676" s="287" t="s">
        <v>3563</v>
      </c>
      <c r="F676" s="287" t="s">
        <v>3559</v>
      </c>
      <c r="G676" s="288" t="s">
        <v>3569</v>
      </c>
      <c r="H676" s="287">
        <v>44656</v>
      </c>
      <c r="I676" s="287" t="s">
        <v>2975</v>
      </c>
      <c r="J676" s="759"/>
    </row>
    <row r="677" spans="1:10" x14ac:dyDescent="0.2">
      <c r="A677" s="944">
        <v>39035172201</v>
      </c>
      <c r="B677" s="239" t="s">
        <v>695</v>
      </c>
      <c r="C677" s="286" t="s">
        <v>2975</v>
      </c>
      <c r="D677" s="865" t="s">
        <v>2975</v>
      </c>
      <c r="E677" s="287" t="s">
        <v>3562</v>
      </c>
      <c r="F677" s="287" t="s">
        <v>3565</v>
      </c>
      <c r="G677" s="288" t="s">
        <v>3569</v>
      </c>
      <c r="H677" s="287">
        <v>44657</v>
      </c>
      <c r="I677" s="287" t="s">
        <v>2975</v>
      </c>
      <c r="J677" s="759"/>
    </row>
    <row r="678" spans="1:10" x14ac:dyDescent="0.2">
      <c r="A678" s="944">
        <v>39035172202</v>
      </c>
      <c r="B678" s="239" t="s">
        <v>696</v>
      </c>
      <c r="C678" s="286" t="s">
        <v>2975</v>
      </c>
      <c r="D678" s="865" t="s">
        <v>2975</v>
      </c>
      <c r="E678" s="287" t="s">
        <v>3562</v>
      </c>
      <c r="F678" s="287" t="s">
        <v>3559</v>
      </c>
      <c r="G678" s="288" t="s">
        <v>3569</v>
      </c>
      <c r="H678" s="287">
        <v>44659</v>
      </c>
      <c r="I678" s="287" t="s">
        <v>2975</v>
      </c>
      <c r="J678" s="759"/>
    </row>
    <row r="679" spans="1:10" x14ac:dyDescent="0.2">
      <c r="A679" s="944">
        <v>39035173103</v>
      </c>
      <c r="B679" s="239" t="s">
        <v>697</v>
      </c>
      <c r="C679" s="286" t="s">
        <v>2975</v>
      </c>
      <c r="D679" s="865" t="s">
        <v>2975</v>
      </c>
      <c r="E679" s="287" t="s">
        <v>3563</v>
      </c>
      <c r="F679" s="287" t="s">
        <v>3559</v>
      </c>
      <c r="G679" s="288" t="s">
        <v>3569</v>
      </c>
      <c r="H679" s="287">
        <v>44661</v>
      </c>
      <c r="I679" s="287" t="s">
        <v>2975</v>
      </c>
      <c r="J679" s="759"/>
    </row>
    <row r="680" spans="1:10" x14ac:dyDescent="0.2">
      <c r="A680" s="944">
        <v>39035173104</v>
      </c>
      <c r="B680" s="239" t="s">
        <v>698</v>
      </c>
      <c r="C680" s="286" t="s">
        <v>2975</v>
      </c>
      <c r="D680" s="865" t="s">
        <v>2975</v>
      </c>
      <c r="E680" s="287" t="s">
        <v>3563</v>
      </c>
      <c r="F680" s="287" t="s">
        <v>3565</v>
      </c>
      <c r="G680" s="288" t="s">
        <v>3569</v>
      </c>
      <c r="H680" s="287">
        <v>44662</v>
      </c>
      <c r="I680" s="287" t="s">
        <v>2975</v>
      </c>
      <c r="J680" s="759"/>
    </row>
    <row r="681" spans="1:10" x14ac:dyDescent="0.2">
      <c r="A681" s="944">
        <v>39035173105</v>
      </c>
      <c r="B681" s="239" t="s">
        <v>699</v>
      </c>
      <c r="C681" s="286" t="s">
        <v>2975</v>
      </c>
      <c r="D681" s="865" t="s">
        <v>2975</v>
      </c>
      <c r="E681" s="287" t="s">
        <v>3562</v>
      </c>
      <c r="F681" s="287" t="s">
        <v>3559</v>
      </c>
      <c r="G681" s="288" t="s">
        <v>3569</v>
      </c>
      <c r="H681" s="287">
        <v>44663</v>
      </c>
      <c r="I681" s="287" t="s">
        <v>2975</v>
      </c>
      <c r="J681" s="759"/>
    </row>
    <row r="682" spans="1:10" x14ac:dyDescent="0.2">
      <c r="A682" s="944">
        <v>39035173106</v>
      </c>
      <c r="B682" s="239" t="s">
        <v>700</v>
      </c>
      <c r="C682" s="286" t="s">
        <v>2975</v>
      </c>
      <c r="D682" s="865" t="s">
        <v>2975</v>
      </c>
      <c r="E682" s="287" t="s">
        <v>3563</v>
      </c>
      <c r="F682" s="287" t="s">
        <v>3559</v>
      </c>
      <c r="G682" s="288" t="s">
        <v>3569</v>
      </c>
      <c r="H682" s="287">
        <v>44666</v>
      </c>
      <c r="I682" s="287" t="s">
        <v>2975</v>
      </c>
      <c r="J682" s="759"/>
    </row>
    <row r="683" spans="1:10" x14ac:dyDescent="0.2">
      <c r="A683" s="944">
        <v>39035173107</v>
      </c>
      <c r="B683" s="239" t="s">
        <v>701</v>
      </c>
      <c r="C683" s="286" t="s">
        <v>2975</v>
      </c>
      <c r="D683" s="865" t="s">
        <v>2975</v>
      </c>
      <c r="E683" s="287" t="s">
        <v>3563</v>
      </c>
      <c r="F683" s="287" t="s">
        <v>5176</v>
      </c>
      <c r="G683" s="288" t="s">
        <v>3569</v>
      </c>
      <c r="H683" s="287">
        <v>44667</v>
      </c>
      <c r="I683" s="287" t="s">
        <v>2975</v>
      </c>
      <c r="J683" s="759"/>
    </row>
    <row r="684" spans="1:10" x14ac:dyDescent="0.2">
      <c r="A684" s="944">
        <v>39035174103</v>
      </c>
      <c r="B684" s="239" t="s">
        <v>702</v>
      </c>
      <c r="C684" s="286" t="s">
        <v>2975</v>
      </c>
      <c r="D684" s="865" t="s">
        <v>2975</v>
      </c>
      <c r="E684" s="287" t="s">
        <v>3564</v>
      </c>
      <c r="F684" s="287" t="s">
        <v>5176</v>
      </c>
      <c r="G684" s="288" t="s">
        <v>3569</v>
      </c>
      <c r="H684" s="287">
        <v>44669</v>
      </c>
      <c r="I684" s="287" t="s">
        <v>2975</v>
      </c>
      <c r="J684" s="759"/>
    </row>
    <row r="685" spans="1:10" x14ac:dyDescent="0.2">
      <c r="A685" s="944">
        <v>39035174104</v>
      </c>
      <c r="B685" s="239" t="s">
        <v>703</v>
      </c>
      <c r="C685" s="286" t="s">
        <v>2975</v>
      </c>
      <c r="D685" s="865" t="s">
        <v>2975</v>
      </c>
      <c r="E685" s="287" t="s">
        <v>3566</v>
      </c>
      <c r="F685" s="287" t="s">
        <v>5176</v>
      </c>
      <c r="G685" s="288" t="s">
        <v>3569</v>
      </c>
      <c r="H685" s="287">
        <v>44670</v>
      </c>
      <c r="I685" s="287" t="s">
        <v>2975</v>
      </c>
      <c r="J685" s="759"/>
    </row>
    <row r="686" spans="1:10" x14ac:dyDescent="0.2">
      <c r="A686" s="944">
        <v>39035174105</v>
      </c>
      <c r="B686" s="239" t="s">
        <v>704</v>
      </c>
      <c r="C686" s="286" t="s">
        <v>2975</v>
      </c>
      <c r="D686" s="865" t="s">
        <v>2975</v>
      </c>
      <c r="E686" s="287" t="s">
        <v>3562</v>
      </c>
      <c r="F686" s="287" t="s">
        <v>3558</v>
      </c>
      <c r="G686" s="288" t="s">
        <v>3569</v>
      </c>
      <c r="H686" s="287">
        <v>44671</v>
      </c>
      <c r="I686" s="287" t="s">
        <v>2975</v>
      </c>
      <c r="J686" s="759"/>
    </row>
    <row r="687" spans="1:10" x14ac:dyDescent="0.2">
      <c r="A687" s="944">
        <v>39035174106</v>
      </c>
      <c r="B687" s="239" t="s">
        <v>705</v>
      </c>
      <c r="C687" s="286" t="s">
        <v>2975</v>
      </c>
      <c r="D687" s="865" t="s">
        <v>2975</v>
      </c>
      <c r="E687" s="287" t="s">
        <v>3566</v>
      </c>
      <c r="F687" s="287" t="s">
        <v>3559</v>
      </c>
      <c r="G687" s="288" t="s">
        <v>3569</v>
      </c>
      <c r="H687" s="287">
        <v>44672</v>
      </c>
      <c r="I687" s="287" t="s">
        <v>2975</v>
      </c>
      <c r="J687" s="759"/>
    </row>
    <row r="688" spans="1:10" x14ac:dyDescent="0.2">
      <c r="A688" s="944">
        <v>39035174107</v>
      </c>
      <c r="B688" s="239" t="s">
        <v>706</v>
      </c>
      <c r="C688" s="286" t="s">
        <v>2975</v>
      </c>
      <c r="D688" s="865" t="s">
        <v>2975</v>
      </c>
      <c r="E688" s="287" t="s">
        <v>3563</v>
      </c>
      <c r="F688" s="287" t="s">
        <v>3559</v>
      </c>
      <c r="G688" s="288" t="s">
        <v>3569</v>
      </c>
      <c r="H688" s="287">
        <v>44675</v>
      </c>
      <c r="I688" s="287" t="s">
        <v>2975</v>
      </c>
      <c r="J688" s="759"/>
    </row>
    <row r="689" spans="1:10" x14ac:dyDescent="0.2">
      <c r="A689" s="944">
        <v>39035174203</v>
      </c>
      <c r="B689" s="239" t="s">
        <v>707</v>
      </c>
      <c r="C689" s="286" t="s">
        <v>2975</v>
      </c>
      <c r="D689" s="865" t="s">
        <v>2975</v>
      </c>
      <c r="E689" s="287" t="s">
        <v>3563</v>
      </c>
      <c r="F689" s="287" t="s">
        <v>5176</v>
      </c>
      <c r="G689" s="288" t="s">
        <v>3569</v>
      </c>
      <c r="H689" s="287">
        <v>44676</v>
      </c>
      <c r="I689" s="287" t="s">
        <v>2975</v>
      </c>
      <c r="J689" s="759"/>
    </row>
    <row r="690" spans="1:10" x14ac:dyDescent="0.2">
      <c r="A690" s="944">
        <v>39035174204</v>
      </c>
      <c r="B690" s="239" t="s">
        <v>708</v>
      </c>
      <c r="C690" s="286" t="s">
        <v>2975</v>
      </c>
      <c r="D690" s="865" t="s">
        <v>2975</v>
      </c>
      <c r="E690" s="287" t="s">
        <v>3563</v>
      </c>
      <c r="F690" s="287" t="s">
        <v>5176</v>
      </c>
      <c r="G690" s="288" t="s">
        <v>3569</v>
      </c>
      <c r="H690" s="287">
        <v>44677</v>
      </c>
      <c r="I690" s="287" t="s">
        <v>2975</v>
      </c>
      <c r="J690" s="759"/>
    </row>
    <row r="691" spans="1:10" x14ac:dyDescent="0.2">
      <c r="A691" s="944">
        <v>39035174205</v>
      </c>
      <c r="B691" s="239" t="s">
        <v>709</v>
      </c>
      <c r="C691" s="286" t="s">
        <v>2975</v>
      </c>
      <c r="D691" s="865" t="s">
        <v>2975</v>
      </c>
      <c r="E691" s="287" t="s">
        <v>3566</v>
      </c>
      <c r="F691" s="287" t="s">
        <v>3565</v>
      </c>
      <c r="G691" s="288" t="s">
        <v>3569</v>
      </c>
      <c r="H691" s="287">
        <v>44678</v>
      </c>
      <c r="I691" s="287" t="s">
        <v>2975</v>
      </c>
      <c r="J691" s="759"/>
    </row>
    <row r="692" spans="1:10" x14ac:dyDescent="0.2">
      <c r="A692" s="944">
        <v>39035174206</v>
      </c>
      <c r="B692" s="239" t="s">
        <v>710</v>
      </c>
      <c r="C692" s="286" t="s">
        <v>2975</v>
      </c>
      <c r="D692" s="865" t="s">
        <v>2975</v>
      </c>
      <c r="E692" s="287" t="s">
        <v>3564</v>
      </c>
      <c r="F692" s="287" t="s">
        <v>3560</v>
      </c>
      <c r="G692" s="288" t="s">
        <v>3569</v>
      </c>
      <c r="H692" s="287">
        <v>44680</v>
      </c>
      <c r="I692" s="287" t="s">
        <v>2975</v>
      </c>
      <c r="J692" s="759"/>
    </row>
    <row r="693" spans="1:10" x14ac:dyDescent="0.2">
      <c r="A693" s="944">
        <v>39035174207</v>
      </c>
      <c r="B693" s="239" t="s">
        <v>711</v>
      </c>
      <c r="C693" s="286" t="s">
        <v>2975</v>
      </c>
      <c r="D693" s="865" t="s">
        <v>2975</v>
      </c>
      <c r="E693" s="287" t="s">
        <v>3563</v>
      </c>
      <c r="F693" s="287" t="s">
        <v>3559</v>
      </c>
      <c r="G693" s="288" t="s">
        <v>3569</v>
      </c>
      <c r="H693" s="287">
        <v>44681</v>
      </c>
      <c r="I693" s="287" t="s">
        <v>2975</v>
      </c>
      <c r="J693" s="759"/>
    </row>
    <row r="694" spans="1:10" x14ac:dyDescent="0.2">
      <c r="A694" s="944">
        <v>39035175103</v>
      </c>
      <c r="B694" s="239" t="s">
        <v>712</v>
      </c>
      <c r="C694" s="286" t="s">
        <v>2975</v>
      </c>
      <c r="D694" s="865" t="s">
        <v>2975</v>
      </c>
      <c r="E694" s="287" t="s">
        <v>3566</v>
      </c>
      <c r="F694" s="287" t="s">
        <v>3559</v>
      </c>
      <c r="G694" s="288" t="s">
        <v>3569</v>
      </c>
      <c r="H694" s="287">
        <v>44682</v>
      </c>
      <c r="I694" s="287" t="s">
        <v>2975</v>
      </c>
      <c r="J694" s="759"/>
    </row>
    <row r="695" spans="1:10" x14ac:dyDescent="0.2">
      <c r="A695" s="944">
        <v>39035175104</v>
      </c>
      <c r="B695" s="239" t="s">
        <v>713</v>
      </c>
      <c r="C695" s="286" t="s">
        <v>2975</v>
      </c>
      <c r="D695" s="865" t="s">
        <v>2975</v>
      </c>
      <c r="E695" s="287" t="s">
        <v>3566</v>
      </c>
      <c r="F695" s="287" t="s">
        <v>3558</v>
      </c>
      <c r="G695" s="288" t="s">
        <v>3569</v>
      </c>
      <c r="H695" s="287">
        <v>44683</v>
      </c>
      <c r="I695" s="287" t="s">
        <v>2975</v>
      </c>
      <c r="J695" s="759"/>
    </row>
    <row r="696" spans="1:10" x14ac:dyDescent="0.2">
      <c r="A696" s="944">
        <v>39035175105</v>
      </c>
      <c r="B696" s="239" t="s">
        <v>714</v>
      </c>
      <c r="C696" s="286" t="s">
        <v>2975</v>
      </c>
      <c r="D696" s="865" t="s">
        <v>2975</v>
      </c>
      <c r="E696" s="287" t="s">
        <v>3563</v>
      </c>
      <c r="F696" s="287" t="s">
        <v>3559</v>
      </c>
      <c r="G696" s="288" t="s">
        <v>3569</v>
      </c>
      <c r="H696" s="287">
        <v>44685</v>
      </c>
      <c r="I696" s="287" t="s">
        <v>2975</v>
      </c>
      <c r="J696" s="759"/>
    </row>
    <row r="697" spans="1:10" x14ac:dyDescent="0.2">
      <c r="A697" s="944">
        <v>39035175106</v>
      </c>
      <c r="B697" s="239" t="s">
        <v>715</v>
      </c>
      <c r="C697" s="286" t="s">
        <v>2975</v>
      </c>
      <c r="D697" s="865" t="s">
        <v>2975</v>
      </c>
      <c r="E697" s="287" t="s">
        <v>3563</v>
      </c>
      <c r="F697" s="287" t="s">
        <v>3565</v>
      </c>
      <c r="G697" s="288" t="s">
        <v>3569</v>
      </c>
      <c r="H697" s="287">
        <v>44687</v>
      </c>
      <c r="I697" s="287" t="s">
        <v>2975</v>
      </c>
      <c r="J697" s="759"/>
    </row>
    <row r="698" spans="1:10" x14ac:dyDescent="0.2">
      <c r="A698" s="944">
        <v>39035175201</v>
      </c>
      <c r="B698" s="239" t="s">
        <v>716</v>
      </c>
      <c r="C698" s="286" t="s">
        <v>2975</v>
      </c>
      <c r="D698" s="865" t="s">
        <v>2975</v>
      </c>
      <c r="E698" s="287" t="s">
        <v>3563</v>
      </c>
      <c r="F698" s="287" t="s">
        <v>3565</v>
      </c>
      <c r="G698" s="288" t="s">
        <v>3569</v>
      </c>
      <c r="H698" s="287">
        <v>44688</v>
      </c>
      <c r="I698" s="287" t="s">
        <v>2975</v>
      </c>
      <c r="J698" s="759"/>
    </row>
    <row r="699" spans="1:10" x14ac:dyDescent="0.2">
      <c r="A699" s="944">
        <v>39035175202</v>
      </c>
      <c r="B699" s="239" t="s">
        <v>717</v>
      </c>
      <c r="C699" s="286" t="s">
        <v>2975</v>
      </c>
      <c r="D699" s="865" t="s">
        <v>2975</v>
      </c>
      <c r="E699" s="287" t="s">
        <v>3566</v>
      </c>
      <c r="F699" s="287" t="s">
        <v>3565</v>
      </c>
      <c r="G699" s="288" t="s">
        <v>3569</v>
      </c>
      <c r="H699" s="287">
        <v>44689</v>
      </c>
      <c r="I699" s="287" t="s">
        <v>2975</v>
      </c>
      <c r="J699" s="759"/>
    </row>
    <row r="700" spans="1:10" x14ac:dyDescent="0.2">
      <c r="A700" s="944">
        <v>39035176100</v>
      </c>
      <c r="B700" s="239" t="s">
        <v>718</v>
      </c>
      <c r="C700" s="286" t="s">
        <v>2975</v>
      </c>
      <c r="D700" s="865" t="s">
        <v>2975</v>
      </c>
      <c r="E700" s="287" t="s">
        <v>3563</v>
      </c>
      <c r="F700" s="287" t="s">
        <v>3559</v>
      </c>
      <c r="G700" s="288" t="s">
        <v>3569</v>
      </c>
      <c r="H700" s="287">
        <v>44690</v>
      </c>
      <c r="I700" s="287" t="s">
        <v>2975</v>
      </c>
      <c r="J700" s="759"/>
    </row>
    <row r="701" spans="1:10" x14ac:dyDescent="0.2">
      <c r="A701" s="944">
        <v>39035176200</v>
      </c>
      <c r="B701" s="239" t="s">
        <v>719</v>
      </c>
      <c r="C701" s="286" t="s">
        <v>2975</v>
      </c>
      <c r="D701" s="865" t="s">
        <v>2975</v>
      </c>
      <c r="E701" s="287" t="s">
        <v>3566</v>
      </c>
      <c r="F701" s="287" t="s">
        <v>3565</v>
      </c>
      <c r="G701" s="288" t="s">
        <v>3569</v>
      </c>
      <c r="H701" s="287">
        <v>44691</v>
      </c>
      <c r="I701" s="287" t="s">
        <v>2975</v>
      </c>
      <c r="J701" s="759"/>
    </row>
    <row r="702" spans="1:10" x14ac:dyDescent="0.2">
      <c r="A702" s="944">
        <v>39035177101</v>
      </c>
      <c r="B702" s="239" t="s">
        <v>720</v>
      </c>
      <c r="C702" s="286" t="s">
        <v>2975</v>
      </c>
      <c r="D702" s="865" t="s">
        <v>2975</v>
      </c>
      <c r="E702" s="287" t="s">
        <v>3564</v>
      </c>
      <c r="F702" s="287" t="s">
        <v>3558</v>
      </c>
      <c r="G702" s="288" t="s">
        <v>3569</v>
      </c>
      <c r="H702" s="287">
        <v>44693</v>
      </c>
      <c r="I702" s="287" t="s">
        <v>2975</v>
      </c>
      <c r="J702" s="759"/>
    </row>
    <row r="703" spans="1:10" x14ac:dyDescent="0.2">
      <c r="A703" s="944">
        <v>39035177103</v>
      </c>
      <c r="B703" s="239" t="s">
        <v>721</v>
      </c>
      <c r="C703" s="286" t="s">
        <v>2975</v>
      </c>
      <c r="D703" s="865" t="s">
        <v>2975</v>
      </c>
      <c r="E703" s="287" t="s">
        <v>3564</v>
      </c>
      <c r="F703" s="287" t="s">
        <v>5177</v>
      </c>
      <c r="G703" s="288" t="s">
        <v>3569</v>
      </c>
      <c r="H703" s="287">
        <v>44695</v>
      </c>
      <c r="I703" s="287" t="s">
        <v>2975</v>
      </c>
      <c r="J703" s="759"/>
    </row>
    <row r="704" spans="1:10" x14ac:dyDescent="0.2">
      <c r="A704" s="944">
        <v>39035177104</v>
      </c>
      <c r="B704" s="239" t="s">
        <v>722</v>
      </c>
      <c r="C704" s="286" t="s">
        <v>2975</v>
      </c>
      <c r="D704" s="865" t="s">
        <v>2975</v>
      </c>
      <c r="E704" s="287" t="s">
        <v>3566</v>
      </c>
      <c r="F704" s="287" t="s">
        <v>3558</v>
      </c>
      <c r="G704" s="288" t="s">
        <v>3569</v>
      </c>
      <c r="H704" s="287">
        <v>44697</v>
      </c>
      <c r="I704" s="287" t="s">
        <v>2975</v>
      </c>
      <c r="J704" s="759"/>
    </row>
    <row r="705" spans="1:10" x14ac:dyDescent="0.2">
      <c r="A705" s="944">
        <v>39035177201</v>
      </c>
      <c r="B705" s="239" t="s">
        <v>723</v>
      </c>
      <c r="C705" s="286" t="s">
        <v>2975</v>
      </c>
      <c r="D705" s="865" t="s">
        <v>2975</v>
      </c>
      <c r="E705" s="287" t="s">
        <v>3566</v>
      </c>
      <c r="F705" s="287" t="s">
        <v>3565</v>
      </c>
      <c r="G705" s="288" t="s">
        <v>3569</v>
      </c>
      <c r="H705" s="287">
        <v>44699</v>
      </c>
      <c r="I705" s="287" t="s">
        <v>2975</v>
      </c>
      <c r="J705" s="759"/>
    </row>
    <row r="706" spans="1:10" x14ac:dyDescent="0.2">
      <c r="A706" s="944">
        <v>39035177202</v>
      </c>
      <c r="B706" s="239" t="s">
        <v>724</v>
      </c>
      <c r="C706" s="286" t="s">
        <v>2975</v>
      </c>
      <c r="D706" s="865" t="s">
        <v>2975</v>
      </c>
      <c r="E706" s="287" t="s">
        <v>3564</v>
      </c>
      <c r="F706" s="287" t="s">
        <v>5176</v>
      </c>
      <c r="G706" s="288" t="s">
        <v>3569</v>
      </c>
      <c r="H706" s="287">
        <v>44702</v>
      </c>
      <c r="I706" s="287" t="s">
        <v>2975</v>
      </c>
      <c r="J706" s="759"/>
    </row>
    <row r="707" spans="1:10" x14ac:dyDescent="0.2">
      <c r="A707" s="944">
        <v>39035177302</v>
      </c>
      <c r="B707" s="239" t="s">
        <v>725</v>
      </c>
      <c r="C707" s="286" t="s">
        <v>2975</v>
      </c>
      <c r="D707" s="865" t="s">
        <v>2975</v>
      </c>
      <c r="E707" s="287" t="s">
        <v>3566</v>
      </c>
      <c r="F707" s="287" t="s">
        <v>3559</v>
      </c>
      <c r="G707" s="288" t="s">
        <v>3569</v>
      </c>
      <c r="H707" s="287">
        <v>44703</v>
      </c>
      <c r="I707" s="287" t="s">
        <v>2975</v>
      </c>
      <c r="J707" s="759"/>
    </row>
    <row r="708" spans="1:10" x14ac:dyDescent="0.2">
      <c r="A708" s="944">
        <v>39035177303</v>
      </c>
      <c r="B708" s="239" t="s">
        <v>726</v>
      </c>
      <c r="C708" s="286" t="s">
        <v>2975</v>
      </c>
      <c r="D708" s="865" t="s">
        <v>2975</v>
      </c>
      <c r="E708" s="287" t="s">
        <v>3563</v>
      </c>
      <c r="F708" s="287" t="s">
        <v>5176</v>
      </c>
      <c r="G708" s="288" t="s">
        <v>3569</v>
      </c>
      <c r="H708" s="287">
        <v>44704</v>
      </c>
      <c r="I708" s="287" t="s">
        <v>2975</v>
      </c>
      <c r="J708" s="759"/>
    </row>
    <row r="709" spans="1:10" x14ac:dyDescent="0.2">
      <c r="A709" s="944">
        <v>39035177304</v>
      </c>
      <c r="B709" s="239" t="s">
        <v>727</v>
      </c>
      <c r="C709" s="286" t="s">
        <v>2975</v>
      </c>
      <c r="D709" s="865" t="s">
        <v>2975</v>
      </c>
      <c r="E709" s="287" t="s">
        <v>3564</v>
      </c>
      <c r="F709" s="287" t="s">
        <v>3559</v>
      </c>
      <c r="G709" s="288" t="s">
        <v>3569</v>
      </c>
      <c r="H709" s="287">
        <v>44705</v>
      </c>
      <c r="I709" s="287" t="s">
        <v>2975</v>
      </c>
      <c r="J709" s="759"/>
    </row>
    <row r="710" spans="1:10" x14ac:dyDescent="0.2">
      <c r="A710" s="944">
        <v>39035177403</v>
      </c>
      <c r="B710" s="239" t="s">
        <v>728</v>
      </c>
      <c r="C710" s="286" t="s">
        <v>2975</v>
      </c>
      <c r="D710" s="865" t="s">
        <v>2975</v>
      </c>
      <c r="E710" s="287" t="s">
        <v>3566</v>
      </c>
      <c r="F710" s="287" t="s">
        <v>5176</v>
      </c>
      <c r="G710" s="288" t="s">
        <v>3569</v>
      </c>
      <c r="H710" s="287">
        <v>44706</v>
      </c>
      <c r="I710" s="287" t="s">
        <v>2975</v>
      </c>
      <c r="J710" s="759"/>
    </row>
    <row r="711" spans="1:10" x14ac:dyDescent="0.2">
      <c r="A711" s="944">
        <v>39035177404</v>
      </c>
      <c r="B711" s="239" t="s">
        <v>729</v>
      </c>
      <c r="C711" s="286" t="s">
        <v>2975</v>
      </c>
      <c r="D711" s="865" t="s">
        <v>2975</v>
      </c>
      <c r="E711" s="287" t="s">
        <v>3566</v>
      </c>
      <c r="F711" s="287" t="s">
        <v>3565</v>
      </c>
      <c r="G711" s="288" t="s">
        <v>3569</v>
      </c>
      <c r="H711" s="287">
        <v>44707</v>
      </c>
      <c r="I711" s="287" t="s">
        <v>2975</v>
      </c>
      <c r="J711" s="759"/>
    </row>
    <row r="712" spans="1:10" x14ac:dyDescent="0.2">
      <c r="A712" s="944">
        <v>39035177405</v>
      </c>
      <c r="B712" s="239" t="s">
        <v>730</v>
      </c>
      <c r="C712" s="286" t="s">
        <v>2975</v>
      </c>
      <c r="D712" s="865" t="s">
        <v>2975</v>
      </c>
      <c r="E712" s="287" t="s">
        <v>3564</v>
      </c>
      <c r="F712" s="287" t="s">
        <v>3565</v>
      </c>
      <c r="G712" s="288" t="s">
        <v>3569</v>
      </c>
      <c r="H712" s="287">
        <v>44708</v>
      </c>
      <c r="I712" s="287" t="s">
        <v>2975</v>
      </c>
      <c r="J712" s="759"/>
    </row>
    <row r="713" spans="1:10" x14ac:dyDescent="0.2">
      <c r="A713" s="944">
        <v>39035177406</v>
      </c>
      <c r="B713" s="239" t="s">
        <v>731</v>
      </c>
      <c r="C713" s="286" t="s">
        <v>2975</v>
      </c>
      <c r="D713" s="865" t="s">
        <v>2975</v>
      </c>
      <c r="E713" s="287" t="s">
        <v>3566</v>
      </c>
      <c r="F713" s="287" t="s">
        <v>3559</v>
      </c>
      <c r="G713" s="288" t="s">
        <v>3569</v>
      </c>
      <c r="H713" s="287">
        <v>44709</v>
      </c>
      <c r="I713" s="287" t="s">
        <v>2975</v>
      </c>
      <c r="J713" s="759"/>
    </row>
    <row r="714" spans="1:10" x14ac:dyDescent="0.2">
      <c r="A714" s="944">
        <v>39035177501</v>
      </c>
      <c r="B714" s="239" t="s">
        <v>732</v>
      </c>
      <c r="C714" s="286" t="s">
        <v>2975</v>
      </c>
      <c r="D714" s="865" t="s">
        <v>2975</v>
      </c>
      <c r="E714" s="287" t="s">
        <v>3564</v>
      </c>
      <c r="F714" s="287" t="s">
        <v>3565</v>
      </c>
      <c r="G714" s="288" t="s">
        <v>3569</v>
      </c>
      <c r="H714" s="287">
        <v>44710</v>
      </c>
      <c r="I714" s="287" t="s">
        <v>2975</v>
      </c>
      <c r="J714" s="759"/>
    </row>
    <row r="715" spans="1:10" x14ac:dyDescent="0.2">
      <c r="A715" s="944">
        <v>39035177503</v>
      </c>
      <c r="B715" s="239" t="s">
        <v>733</v>
      </c>
      <c r="C715" s="286" t="s">
        <v>2975</v>
      </c>
      <c r="D715" s="865" t="s">
        <v>2975</v>
      </c>
      <c r="E715" s="287" t="s">
        <v>3566</v>
      </c>
      <c r="F715" s="287" t="s">
        <v>3565</v>
      </c>
      <c r="G715" s="288" t="s">
        <v>3569</v>
      </c>
      <c r="H715" s="287">
        <v>44714</v>
      </c>
      <c r="I715" s="287" t="s">
        <v>2975</v>
      </c>
      <c r="J715" s="759"/>
    </row>
    <row r="716" spans="1:10" x14ac:dyDescent="0.2">
      <c r="A716" s="944">
        <v>39035177504</v>
      </c>
      <c r="B716" s="239" t="s">
        <v>734</v>
      </c>
      <c r="C716" s="286" t="s">
        <v>2975</v>
      </c>
      <c r="D716" s="865" t="s">
        <v>2975</v>
      </c>
      <c r="E716" s="287" t="s">
        <v>3566</v>
      </c>
      <c r="F716" s="287" t="s">
        <v>3558</v>
      </c>
      <c r="G716" s="288" t="s">
        <v>3569</v>
      </c>
      <c r="H716" s="287">
        <v>44718</v>
      </c>
      <c r="I716" s="287" t="s">
        <v>2975</v>
      </c>
      <c r="J716" s="759"/>
    </row>
    <row r="717" spans="1:10" x14ac:dyDescent="0.2">
      <c r="A717" s="944">
        <v>39035177505</v>
      </c>
      <c r="B717" s="239" t="s">
        <v>735</v>
      </c>
      <c r="C717" s="286" t="s">
        <v>2975</v>
      </c>
      <c r="D717" s="865" t="s">
        <v>2975</v>
      </c>
      <c r="E717" s="287" t="s">
        <v>3566</v>
      </c>
      <c r="F717" s="287" t="s">
        <v>3558</v>
      </c>
      <c r="G717" s="288" t="s">
        <v>3569</v>
      </c>
      <c r="H717" s="287">
        <v>44720</v>
      </c>
      <c r="I717" s="287" t="s">
        <v>2975</v>
      </c>
      <c r="J717" s="759"/>
    </row>
    <row r="718" spans="1:10" x14ac:dyDescent="0.2">
      <c r="A718" s="944">
        <v>39035177604</v>
      </c>
      <c r="B718" s="239" t="s">
        <v>736</v>
      </c>
      <c r="C718" s="286" t="s">
        <v>2975</v>
      </c>
      <c r="D718" s="865" t="s">
        <v>2975</v>
      </c>
      <c r="E718" s="287" t="s">
        <v>3566</v>
      </c>
      <c r="F718" s="287" t="s">
        <v>5177</v>
      </c>
      <c r="G718" s="288" t="s">
        <v>3569</v>
      </c>
      <c r="H718" s="287">
        <v>44721</v>
      </c>
      <c r="I718" s="287" t="s">
        <v>2975</v>
      </c>
      <c r="J718" s="759"/>
    </row>
    <row r="719" spans="1:10" x14ac:dyDescent="0.2">
      <c r="A719" s="944">
        <v>39035177605</v>
      </c>
      <c r="B719" s="239" t="s">
        <v>737</v>
      </c>
      <c r="C719" s="286" t="s">
        <v>2975</v>
      </c>
      <c r="D719" s="865" t="s">
        <v>2975</v>
      </c>
      <c r="E719" s="287" t="s">
        <v>3566</v>
      </c>
      <c r="F719" s="287" t="s">
        <v>3565</v>
      </c>
      <c r="G719" s="288" t="s">
        <v>3569</v>
      </c>
      <c r="H719" s="287">
        <v>44730</v>
      </c>
      <c r="I719" s="287" t="s">
        <v>2975</v>
      </c>
      <c r="J719" s="759"/>
    </row>
    <row r="720" spans="1:10" x14ac:dyDescent="0.2">
      <c r="A720" s="944">
        <v>39035177606</v>
      </c>
      <c r="B720" s="239" t="s">
        <v>738</v>
      </c>
      <c r="C720" s="286" t="s">
        <v>2975</v>
      </c>
      <c r="D720" s="865" t="s">
        <v>2975</v>
      </c>
      <c r="E720" s="287" t="s">
        <v>3566</v>
      </c>
      <c r="F720" s="287" t="s">
        <v>5176</v>
      </c>
      <c r="G720" s="288" t="s">
        <v>3569</v>
      </c>
      <c r="H720" s="287">
        <v>44802</v>
      </c>
      <c r="I720" s="287" t="s">
        <v>2975</v>
      </c>
      <c r="J720" s="759"/>
    </row>
    <row r="721" spans="1:10" x14ac:dyDescent="0.2">
      <c r="A721" s="944">
        <v>39035177607</v>
      </c>
      <c r="B721" s="239" t="s">
        <v>739</v>
      </c>
      <c r="C721" s="286" t="s">
        <v>2975</v>
      </c>
      <c r="D721" s="865" t="s">
        <v>2975</v>
      </c>
      <c r="E721" s="287" t="s">
        <v>3566</v>
      </c>
      <c r="F721" s="287" t="s">
        <v>3559</v>
      </c>
      <c r="G721" s="288" t="s">
        <v>3569</v>
      </c>
      <c r="H721" s="287">
        <v>44804</v>
      </c>
      <c r="I721" s="287" t="s">
        <v>2975</v>
      </c>
      <c r="J721" s="759"/>
    </row>
    <row r="722" spans="1:10" x14ac:dyDescent="0.2">
      <c r="A722" s="944">
        <v>39035177608</v>
      </c>
      <c r="B722" s="239" t="s">
        <v>740</v>
      </c>
      <c r="C722" s="286" t="s">
        <v>2975</v>
      </c>
      <c r="D722" s="865" t="s">
        <v>2975</v>
      </c>
      <c r="E722" s="287" t="s">
        <v>3564</v>
      </c>
      <c r="F722" s="287" t="s">
        <v>3559</v>
      </c>
      <c r="G722" s="288" t="s">
        <v>3569</v>
      </c>
      <c r="H722" s="287">
        <v>44805</v>
      </c>
      <c r="I722" s="287" t="s">
        <v>2975</v>
      </c>
      <c r="J722" s="759"/>
    </row>
    <row r="723" spans="1:10" x14ac:dyDescent="0.2">
      <c r="A723" s="944">
        <v>39035177609</v>
      </c>
      <c r="B723" s="239" t="s">
        <v>741</v>
      </c>
      <c r="C723" s="286" t="s">
        <v>2975</v>
      </c>
      <c r="D723" s="865" t="s">
        <v>2975</v>
      </c>
      <c r="E723" s="287" t="s">
        <v>3563</v>
      </c>
      <c r="F723" s="287" t="s">
        <v>3565</v>
      </c>
      <c r="G723" s="288" t="s">
        <v>3569</v>
      </c>
      <c r="H723" s="287">
        <v>44807</v>
      </c>
      <c r="I723" s="287" t="s">
        <v>2975</v>
      </c>
      <c r="J723" s="759"/>
    </row>
    <row r="724" spans="1:10" x14ac:dyDescent="0.2">
      <c r="A724" s="944">
        <v>39035178101</v>
      </c>
      <c r="B724" s="239" t="s">
        <v>742</v>
      </c>
      <c r="C724" s="286" t="s">
        <v>2975</v>
      </c>
      <c r="D724" s="865" t="s">
        <v>2975</v>
      </c>
      <c r="E724" s="287" t="s">
        <v>3564</v>
      </c>
      <c r="F724" s="287" t="s">
        <v>3565</v>
      </c>
      <c r="G724" s="288" t="s">
        <v>3569</v>
      </c>
      <c r="H724" s="287">
        <v>44809</v>
      </c>
      <c r="I724" s="287" t="s">
        <v>2975</v>
      </c>
      <c r="J724" s="759"/>
    </row>
    <row r="725" spans="1:10" x14ac:dyDescent="0.2">
      <c r="A725" s="944">
        <v>39035178102</v>
      </c>
      <c r="B725" s="239" t="s">
        <v>743</v>
      </c>
      <c r="C725" s="286" t="s">
        <v>2975</v>
      </c>
      <c r="D725" s="865" t="s">
        <v>2975</v>
      </c>
      <c r="E725" s="287" t="s">
        <v>3566</v>
      </c>
      <c r="F725" s="287" t="s">
        <v>3559</v>
      </c>
      <c r="G725" s="288" t="s">
        <v>3569</v>
      </c>
      <c r="H725" s="287">
        <v>44811</v>
      </c>
      <c r="I725" s="287" t="s">
        <v>2975</v>
      </c>
      <c r="J725" s="759"/>
    </row>
    <row r="726" spans="1:10" x14ac:dyDescent="0.2">
      <c r="A726" s="944">
        <v>39035178201</v>
      </c>
      <c r="B726" s="239" t="s">
        <v>744</v>
      </c>
      <c r="C726" s="286" t="s">
        <v>2975</v>
      </c>
      <c r="D726" s="865" t="s">
        <v>2975</v>
      </c>
      <c r="E726" s="287" t="s">
        <v>3566</v>
      </c>
      <c r="F726" s="287" t="s">
        <v>3559</v>
      </c>
      <c r="G726" s="288" t="s">
        <v>3569</v>
      </c>
      <c r="H726" s="287">
        <v>44813</v>
      </c>
      <c r="I726" s="287" t="s">
        <v>2975</v>
      </c>
      <c r="J726" s="759"/>
    </row>
    <row r="727" spans="1:10" x14ac:dyDescent="0.2">
      <c r="A727" s="944">
        <v>39035178204</v>
      </c>
      <c r="B727" s="239" t="s">
        <v>745</v>
      </c>
      <c r="C727" s="286" t="s">
        <v>2975</v>
      </c>
      <c r="D727" s="865" t="s">
        <v>2975</v>
      </c>
      <c r="E727" s="287" t="s">
        <v>3564</v>
      </c>
      <c r="F727" s="287" t="s">
        <v>3559</v>
      </c>
      <c r="G727" s="288" t="s">
        <v>3569</v>
      </c>
      <c r="H727" s="287">
        <v>44814</v>
      </c>
      <c r="I727" s="287" t="s">
        <v>2975</v>
      </c>
      <c r="J727" s="759"/>
    </row>
    <row r="728" spans="1:10" x14ac:dyDescent="0.2">
      <c r="A728" s="944">
        <v>39035178205</v>
      </c>
      <c r="B728" s="239" t="s">
        <v>746</v>
      </c>
      <c r="C728" s="286" t="s">
        <v>2975</v>
      </c>
      <c r="D728" s="865" t="s">
        <v>2975</v>
      </c>
      <c r="E728" s="287" t="s">
        <v>3563</v>
      </c>
      <c r="F728" s="287" t="s">
        <v>5177</v>
      </c>
      <c r="G728" s="288" t="s">
        <v>3569</v>
      </c>
      <c r="H728" s="287">
        <v>44815</v>
      </c>
      <c r="I728" s="287" t="s">
        <v>2975</v>
      </c>
      <c r="J728" s="759"/>
    </row>
    <row r="729" spans="1:10" x14ac:dyDescent="0.2">
      <c r="A729" s="944">
        <v>39035178206</v>
      </c>
      <c r="B729" s="239" t="s">
        <v>747</v>
      </c>
      <c r="C729" s="286" t="s">
        <v>2975</v>
      </c>
      <c r="D729" s="865" t="s">
        <v>2975</v>
      </c>
      <c r="E729" s="287" t="s">
        <v>3566</v>
      </c>
      <c r="F729" s="287" t="s">
        <v>5176</v>
      </c>
      <c r="G729" s="288" t="s">
        <v>3569</v>
      </c>
      <c r="H729" s="287">
        <v>44816</v>
      </c>
      <c r="I729" s="287" t="s">
        <v>2975</v>
      </c>
      <c r="J729" s="759"/>
    </row>
    <row r="730" spans="1:10" x14ac:dyDescent="0.2">
      <c r="A730" s="944">
        <v>39035179101</v>
      </c>
      <c r="B730" s="239" t="s">
        <v>748</v>
      </c>
      <c r="C730" s="286" t="s">
        <v>2975</v>
      </c>
      <c r="D730" s="865" t="s">
        <v>2975</v>
      </c>
      <c r="E730" s="287" t="s">
        <v>3562</v>
      </c>
      <c r="F730" s="287" t="s">
        <v>5177</v>
      </c>
      <c r="G730" s="288" t="s">
        <v>3569</v>
      </c>
      <c r="H730" s="287">
        <v>44817</v>
      </c>
      <c r="I730" s="287" t="s">
        <v>2975</v>
      </c>
      <c r="J730" s="759"/>
    </row>
    <row r="731" spans="1:10" x14ac:dyDescent="0.2">
      <c r="A731" s="944">
        <v>39035179102</v>
      </c>
      <c r="B731" s="239" t="s">
        <v>749</v>
      </c>
      <c r="C731" s="286" t="s">
        <v>2975</v>
      </c>
      <c r="D731" s="865" t="s">
        <v>2975</v>
      </c>
      <c r="E731" s="287" t="s">
        <v>3562</v>
      </c>
      <c r="F731" s="287" t="s">
        <v>5177</v>
      </c>
      <c r="G731" s="288" t="s">
        <v>3569</v>
      </c>
      <c r="H731" s="287">
        <v>44818</v>
      </c>
      <c r="I731" s="287" t="s">
        <v>2975</v>
      </c>
      <c r="J731" s="759"/>
    </row>
    <row r="732" spans="1:10" x14ac:dyDescent="0.2">
      <c r="A732" s="944">
        <v>39035180102</v>
      </c>
      <c r="B732" s="239" t="s">
        <v>750</v>
      </c>
      <c r="C732" s="286" t="s">
        <v>2975</v>
      </c>
      <c r="D732" s="865" t="s">
        <v>2975</v>
      </c>
      <c r="E732" s="287" t="s">
        <v>3566</v>
      </c>
      <c r="F732" s="287" t="s">
        <v>3558</v>
      </c>
      <c r="G732" s="288" t="s">
        <v>3569</v>
      </c>
      <c r="H732" s="287">
        <v>44820</v>
      </c>
      <c r="I732" s="287" t="s">
        <v>2975</v>
      </c>
      <c r="J732" s="759"/>
    </row>
    <row r="733" spans="1:10" x14ac:dyDescent="0.2">
      <c r="A733" s="944">
        <v>39035180103</v>
      </c>
      <c r="B733" s="239" t="s">
        <v>751</v>
      </c>
      <c r="C733" s="286" t="s">
        <v>2975</v>
      </c>
      <c r="D733" s="865" t="s">
        <v>2975</v>
      </c>
      <c r="E733" s="287" t="s">
        <v>3566</v>
      </c>
      <c r="F733" s="287" t="s">
        <v>3565</v>
      </c>
      <c r="G733" s="288" t="s">
        <v>3569</v>
      </c>
      <c r="H733" s="287">
        <v>44822</v>
      </c>
      <c r="I733" s="287" t="s">
        <v>2975</v>
      </c>
      <c r="J733" s="759"/>
    </row>
    <row r="734" spans="1:10" x14ac:dyDescent="0.2">
      <c r="A734" s="944">
        <v>39035180104</v>
      </c>
      <c r="B734" s="239" t="s">
        <v>752</v>
      </c>
      <c r="C734" s="286" t="s">
        <v>4330</v>
      </c>
      <c r="D734" s="865" t="s">
        <v>4330</v>
      </c>
      <c r="E734" s="287" t="s">
        <v>3557</v>
      </c>
      <c r="F734" s="287" t="s">
        <v>5176</v>
      </c>
      <c r="G734" s="288" t="s">
        <v>3569</v>
      </c>
      <c r="H734" s="287">
        <v>44824</v>
      </c>
      <c r="I734" s="287" t="s">
        <v>2975</v>
      </c>
      <c r="J734" s="759"/>
    </row>
    <row r="735" spans="1:10" x14ac:dyDescent="0.2">
      <c r="A735" s="944">
        <v>39035181100</v>
      </c>
      <c r="B735" s="239" t="s">
        <v>753</v>
      </c>
      <c r="C735" s="286" t="s">
        <v>2975</v>
      </c>
      <c r="D735" s="865" t="s">
        <v>2975</v>
      </c>
      <c r="E735" s="287" t="s">
        <v>3562</v>
      </c>
      <c r="F735" s="287" t="s">
        <v>5177</v>
      </c>
      <c r="G735" s="288" t="s">
        <v>3569</v>
      </c>
      <c r="H735" s="287">
        <v>44825</v>
      </c>
      <c r="I735" s="287" t="s">
        <v>2975</v>
      </c>
      <c r="J735" s="759"/>
    </row>
    <row r="736" spans="1:10" x14ac:dyDescent="0.2">
      <c r="A736" s="944">
        <v>39035181201</v>
      </c>
      <c r="B736" s="239" t="s">
        <v>754</v>
      </c>
      <c r="C736" s="286" t="s">
        <v>2975</v>
      </c>
      <c r="D736" s="865" t="s">
        <v>2975</v>
      </c>
      <c r="E736" s="287" t="s">
        <v>3562</v>
      </c>
      <c r="F736" s="287" t="s">
        <v>3565</v>
      </c>
      <c r="G736" s="288" t="s">
        <v>3569</v>
      </c>
      <c r="H736" s="287">
        <v>44826</v>
      </c>
      <c r="I736" s="287" t="s">
        <v>2975</v>
      </c>
      <c r="J736" s="759"/>
    </row>
    <row r="737" spans="1:10" x14ac:dyDescent="0.2">
      <c r="A737" s="944">
        <v>39035181203</v>
      </c>
      <c r="B737" s="239" t="s">
        <v>755</v>
      </c>
      <c r="C737" s="286" t="s">
        <v>2975</v>
      </c>
      <c r="D737" s="865" t="s">
        <v>2975</v>
      </c>
      <c r="E737" s="287" t="s">
        <v>3562</v>
      </c>
      <c r="F737" s="287" t="s">
        <v>3565</v>
      </c>
      <c r="G737" s="288" t="s">
        <v>3569</v>
      </c>
      <c r="H737" s="287">
        <v>44827</v>
      </c>
      <c r="I737" s="287" t="s">
        <v>2975</v>
      </c>
      <c r="J737" s="759"/>
    </row>
    <row r="738" spans="1:10" x14ac:dyDescent="0.2">
      <c r="A738" s="944">
        <v>39035181204</v>
      </c>
      <c r="B738" s="239" t="s">
        <v>756</v>
      </c>
      <c r="C738" s="286" t="s">
        <v>2975</v>
      </c>
      <c r="D738" s="865" t="s">
        <v>2975</v>
      </c>
      <c r="E738" s="287" t="s">
        <v>3562</v>
      </c>
      <c r="F738" s="287" t="s">
        <v>5177</v>
      </c>
      <c r="G738" s="288" t="s">
        <v>3569</v>
      </c>
      <c r="H738" s="287">
        <v>44828</v>
      </c>
      <c r="I738" s="287" t="s">
        <v>2975</v>
      </c>
      <c r="J738" s="759"/>
    </row>
    <row r="739" spans="1:10" x14ac:dyDescent="0.2">
      <c r="A739" s="944">
        <v>39035182103</v>
      </c>
      <c r="B739" s="239" t="s">
        <v>757</v>
      </c>
      <c r="C739" s="286" t="s">
        <v>2975</v>
      </c>
      <c r="D739" s="865" t="s">
        <v>2975</v>
      </c>
      <c r="E739" s="287" t="s">
        <v>3563</v>
      </c>
      <c r="F739" s="287" t="s">
        <v>3565</v>
      </c>
      <c r="G739" s="288" t="s">
        <v>3569</v>
      </c>
      <c r="H739" s="287">
        <v>44830</v>
      </c>
      <c r="I739" s="287" t="s">
        <v>2975</v>
      </c>
      <c r="J739" s="759"/>
    </row>
    <row r="740" spans="1:10" x14ac:dyDescent="0.2">
      <c r="A740" s="944">
        <v>39035182104</v>
      </c>
      <c r="B740" s="239" t="s">
        <v>758</v>
      </c>
      <c r="C740" s="286" t="s">
        <v>2975</v>
      </c>
      <c r="D740" s="865" t="s">
        <v>2975</v>
      </c>
      <c r="E740" s="287" t="s">
        <v>3563</v>
      </c>
      <c r="F740" s="287" t="s">
        <v>3565</v>
      </c>
      <c r="G740" s="288" t="s">
        <v>3569</v>
      </c>
      <c r="H740" s="287">
        <v>44833</v>
      </c>
      <c r="I740" s="287" t="s">
        <v>2975</v>
      </c>
      <c r="J740" s="759"/>
    </row>
    <row r="741" spans="1:10" x14ac:dyDescent="0.2">
      <c r="A741" s="944">
        <v>39035182105</v>
      </c>
      <c r="B741" s="239" t="s">
        <v>759</v>
      </c>
      <c r="C741" s="286" t="s">
        <v>2975</v>
      </c>
      <c r="D741" s="865" t="s">
        <v>2975</v>
      </c>
      <c r="E741" s="287" t="s">
        <v>3563</v>
      </c>
      <c r="F741" s="287" t="s">
        <v>3559</v>
      </c>
      <c r="G741" s="288" t="s">
        <v>3569</v>
      </c>
      <c r="H741" s="287">
        <v>44836</v>
      </c>
      <c r="I741" s="287" t="s">
        <v>2975</v>
      </c>
      <c r="J741" s="759"/>
    </row>
    <row r="742" spans="1:10" x14ac:dyDescent="0.2">
      <c r="A742" s="944">
        <v>39035182106</v>
      </c>
      <c r="B742" s="239" t="s">
        <v>760</v>
      </c>
      <c r="C742" s="286" t="s">
        <v>2975</v>
      </c>
      <c r="D742" s="865" t="s">
        <v>2975</v>
      </c>
      <c r="E742" s="287" t="s">
        <v>3563</v>
      </c>
      <c r="F742" s="287" t="s">
        <v>3558</v>
      </c>
      <c r="G742" s="288" t="s">
        <v>3569</v>
      </c>
      <c r="H742" s="287">
        <v>44837</v>
      </c>
      <c r="I742" s="287" t="s">
        <v>2975</v>
      </c>
      <c r="J742" s="759"/>
    </row>
    <row r="743" spans="1:10" x14ac:dyDescent="0.2">
      <c r="A743" s="944">
        <v>39035183100</v>
      </c>
      <c r="B743" s="239" t="s">
        <v>761</v>
      </c>
      <c r="C743" s="286" t="s">
        <v>2975</v>
      </c>
      <c r="D743" s="865" t="s">
        <v>2975</v>
      </c>
      <c r="E743" s="287" t="s">
        <v>3562</v>
      </c>
      <c r="F743" s="287" t="s">
        <v>3558</v>
      </c>
      <c r="G743" s="288" t="s">
        <v>3569</v>
      </c>
      <c r="H743" s="287">
        <v>44838</v>
      </c>
      <c r="I743" s="287" t="s">
        <v>2975</v>
      </c>
      <c r="J743" s="759"/>
    </row>
    <row r="744" spans="1:10" x14ac:dyDescent="0.2">
      <c r="A744" s="944">
        <v>39035183200</v>
      </c>
      <c r="B744" s="239" t="s">
        <v>762</v>
      </c>
      <c r="C744" s="286" t="s">
        <v>2975</v>
      </c>
      <c r="D744" s="865" t="s">
        <v>2975</v>
      </c>
      <c r="E744" s="287" t="s">
        <v>3562</v>
      </c>
      <c r="F744" s="287" t="s">
        <v>3558</v>
      </c>
      <c r="G744" s="288" t="s">
        <v>3569</v>
      </c>
      <c r="H744" s="287">
        <v>44839</v>
      </c>
      <c r="I744" s="287" t="s">
        <v>2975</v>
      </c>
      <c r="J744" s="759"/>
    </row>
    <row r="745" spans="1:10" x14ac:dyDescent="0.2">
      <c r="A745" s="944">
        <v>39035183300</v>
      </c>
      <c r="B745" s="239" t="s">
        <v>763</v>
      </c>
      <c r="C745" s="286" t="s">
        <v>2975</v>
      </c>
      <c r="D745" s="865" t="s">
        <v>2975</v>
      </c>
      <c r="E745" s="287" t="s">
        <v>3562</v>
      </c>
      <c r="F745" s="287" t="s">
        <v>5177</v>
      </c>
      <c r="G745" s="288" t="s">
        <v>3569</v>
      </c>
      <c r="H745" s="287">
        <v>44840</v>
      </c>
      <c r="I745" s="287" t="s">
        <v>2975</v>
      </c>
      <c r="J745" s="759"/>
    </row>
    <row r="746" spans="1:10" x14ac:dyDescent="0.2">
      <c r="A746" s="944">
        <v>39035183401</v>
      </c>
      <c r="B746" s="239" t="s">
        <v>764</v>
      </c>
      <c r="C746" s="286" t="s">
        <v>2975</v>
      </c>
      <c r="D746" s="865" t="s">
        <v>2975</v>
      </c>
      <c r="E746" s="287" t="s">
        <v>3563</v>
      </c>
      <c r="F746" s="287" t="s">
        <v>3565</v>
      </c>
      <c r="G746" s="288" t="s">
        <v>3569</v>
      </c>
      <c r="H746" s="287">
        <v>44841</v>
      </c>
      <c r="I746" s="287" t="s">
        <v>2975</v>
      </c>
      <c r="J746" s="759"/>
    </row>
    <row r="747" spans="1:10" x14ac:dyDescent="0.2">
      <c r="A747" s="944">
        <v>39035183402</v>
      </c>
      <c r="B747" s="239" t="s">
        <v>765</v>
      </c>
      <c r="C747" s="286" t="s">
        <v>2975</v>
      </c>
      <c r="D747" s="865" t="s">
        <v>2975</v>
      </c>
      <c r="E747" s="287" t="s">
        <v>3566</v>
      </c>
      <c r="F747" s="287" t="s">
        <v>3559</v>
      </c>
      <c r="G747" s="288" t="s">
        <v>3569</v>
      </c>
      <c r="H747" s="287">
        <v>44842</v>
      </c>
      <c r="I747" s="287" t="s">
        <v>2975</v>
      </c>
      <c r="J747" s="759"/>
    </row>
    <row r="748" spans="1:10" x14ac:dyDescent="0.2">
      <c r="A748" s="944">
        <v>39035183501</v>
      </c>
      <c r="B748" s="239" t="s">
        <v>766</v>
      </c>
      <c r="C748" s="286" t="s">
        <v>2975</v>
      </c>
      <c r="D748" s="865" t="s">
        <v>2975</v>
      </c>
      <c r="E748" s="287" t="s">
        <v>3566</v>
      </c>
      <c r="F748" s="287" t="s">
        <v>3565</v>
      </c>
      <c r="G748" s="288" t="s">
        <v>3569</v>
      </c>
      <c r="H748" s="287">
        <v>44843</v>
      </c>
      <c r="I748" s="287" t="s">
        <v>2975</v>
      </c>
      <c r="J748" s="759"/>
    </row>
    <row r="749" spans="1:10" x14ac:dyDescent="0.2">
      <c r="A749" s="944">
        <v>39035183502</v>
      </c>
      <c r="B749" s="239" t="s">
        <v>767</v>
      </c>
      <c r="C749" s="286" t="s">
        <v>2975</v>
      </c>
      <c r="D749" s="865" t="s">
        <v>2975</v>
      </c>
      <c r="E749" s="287" t="s">
        <v>3563</v>
      </c>
      <c r="F749" s="287" t="s">
        <v>3558</v>
      </c>
      <c r="G749" s="288" t="s">
        <v>3569</v>
      </c>
      <c r="H749" s="287">
        <v>44844</v>
      </c>
      <c r="I749" s="287" t="s">
        <v>2975</v>
      </c>
      <c r="J749" s="759"/>
    </row>
    <row r="750" spans="1:10" x14ac:dyDescent="0.2">
      <c r="A750" s="944">
        <v>39035183603</v>
      </c>
      <c r="B750" s="239" t="s">
        <v>768</v>
      </c>
      <c r="C750" s="286" t="s">
        <v>4330</v>
      </c>
      <c r="D750" s="865" t="s">
        <v>4330</v>
      </c>
      <c r="E750" s="287" t="s">
        <v>3564</v>
      </c>
      <c r="F750" s="287" t="s">
        <v>3558</v>
      </c>
      <c r="G750" s="288" t="s">
        <v>3569</v>
      </c>
      <c r="H750" s="287">
        <v>44846</v>
      </c>
      <c r="I750" s="287" t="s">
        <v>2975</v>
      </c>
      <c r="J750" s="759"/>
    </row>
    <row r="751" spans="1:10" x14ac:dyDescent="0.2">
      <c r="A751" s="944">
        <v>39035183604</v>
      </c>
      <c r="B751" s="239" t="s">
        <v>769</v>
      </c>
      <c r="C751" s="286" t="s">
        <v>2975</v>
      </c>
      <c r="D751" s="865" t="s">
        <v>2975</v>
      </c>
      <c r="E751" s="287" t="s">
        <v>3564</v>
      </c>
      <c r="F751" s="287" t="s">
        <v>3558</v>
      </c>
      <c r="G751" s="288" t="s">
        <v>3569</v>
      </c>
      <c r="H751" s="287">
        <v>44847</v>
      </c>
      <c r="I751" s="287" t="s">
        <v>2975</v>
      </c>
      <c r="J751" s="759"/>
    </row>
    <row r="752" spans="1:10" x14ac:dyDescent="0.2">
      <c r="A752" s="944">
        <v>39035183605</v>
      </c>
      <c r="B752" s="239" t="s">
        <v>770</v>
      </c>
      <c r="C752" s="286" t="s">
        <v>2975</v>
      </c>
      <c r="D752" s="865" t="s">
        <v>2975</v>
      </c>
      <c r="E752" s="287" t="s">
        <v>3563</v>
      </c>
      <c r="F752" s="287" t="s">
        <v>5176</v>
      </c>
      <c r="G752" s="288" t="s">
        <v>3569</v>
      </c>
      <c r="H752" s="287">
        <v>44849</v>
      </c>
      <c r="I752" s="287" t="s">
        <v>2975</v>
      </c>
      <c r="J752" s="759"/>
    </row>
    <row r="753" spans="1:10" x14ac:dyDescent="0.2">
      <c r="A753" s="944">
        <v>39035183606</v>
      </c>
      <c r="B753" s="239" t="s">
        <v>771</v>
      </c>
      <c r="C753" s="286" t="s">
        <v>2975</v>
      </c>
      <c r="D753" s="865" t="s">
        <v>2975</v>
      </c>
      <c r="E753" s="287" t="s">
        <v>3563</v>
      </c>
      <c r="F753" s="287" t="s">
        <v>3559</v>
      </c>
      <c r="G753" s="288" t="s">
        <v>3569</v>
      </c>
      <c r="H753" s="287">
        <v>44850</v>
      </c>
      <c r="I753" s="287" t="s">
        <v>2975</v>
      </c>
      <c r="J753" s="759"/>
    </row>
    <row r="754" spans="1:10" x14ac:dyDescent="0.2">
      <c r="A754" s="944">
        <v>39035184103</v>
      </c>
      <c r="B754" s="239" t="s">
        <v>772</v>
      </c>
      <c r="C754" s="286" t="s">
        <v>2975</v>
      </c>
      <c r="D754" s="865" t="s">
        <v>2975</v>
      </c>
      <c r="E754" s="287" t="s">
        <v>3562</v>
      </c>
      <c r="F754" s="287" t="s">
        <v>3559</v>
      </c>
      <c r="G754" s="288" t="s">
        <v>3569</v>
      </c>
      <c r="H754" s="287">
        <v>44851</v>
      </c>
      <c r="I754" s="287" t="s">
        <v>2975</v>
      </c>
      <c r="J754" s="759"/>
    </row>
    <row r="755" spans="1:10" x14ac:dyDescent="0.2">
      <c r="A755" s="944">
        <v>39035184104</v>
      </c>
      <c r="B755" s="239" t="s">
        <v>773</v>
      </c>
      <c r="C755" s="286" t="s">
        <v>2975</v>
      </c>
      <c r="D755" s="865" t="s">
        <v>2975</v>
      </c>
      <c r="E755" s="287" t="s">
        <v>3562</v>
      </c>
      <c r="F755" s="287" t="s">
        <v>3559</v>
      </c>
      <c r="G755" s="288" t="s">
        <v>3569</v>
      </c>
      <c r="H755" s="287">
        <v>44853</v>
      </c>
      <c r="I755" s="287" t="s">
        <v>2975</v>
      </c>
      <c r="J755" s="759"/>
    </row>
    <row r="756" spans="1:10" x14ac:dyDescent="0.2">
      <c r="A756" s="944">
        <v>39035184105</v>
      </c>
      <c r="B756" s="239" t="s">
        <v>774</v>
      </c>
      <c r="C756" s="286" t="s">
        <v>2975</v>
      </c>
      <c r="D756" s="865" t="s">
        <v>2975</v>
      </c>
      <c r="E756" s="287" t="s">
        <v>3562</v>
      </c>
      <c r="F756" s="287" t="s">
        <v>5177</v>
      </c>
      <c r="G756" s="288" t="s">
        <v>3569</v>
      </c>
      <c r="H756" s="287">
        <v>44854</v>
      </c>
      <c r="I756" s="287" t="s">
        <v>2975</v>
      </c>
      <c r="J756" s="759"/>
    </row>
    <row r="757" spans="1:10" x14ac:dyDescent="0.2">
      <c r="A757" s="944">
        <v>39035184106</v>
      </c>
      <c r="B757" s="239" t="s">
        <v>775</v>
      </c>
      <c r="C757" s="286" t="s">
        <v>2975</v>
      </c>
      <c r="D757" s="865" t="s">
        <v>2975</v>
      </c>
      <c r="E757" s="287" t="s">
        <v>3562</v>
      </c>
      <c r="F757" s="287" t="s">
        <v>3559</v>
      </c>
      <c r="G757" s="288" t="s">
        <v>3569</v>
      </c>
      <c r="H757" s="287">
        <v>44855</v>
      </c>
      <c r="I757" s="287" t="s">
        <v>2975</v>
      </c>
      <c r="J757" s="759"/>
    </row>
    <row r="758" spans="1:10" x14ac:dyDescent="0.2">
      <c r="A758" s="944">
        <v>39035184108</v>
      </c>
      <c r="B758" s="239" t="s">
        <v>776</v>
      </c>
      <c r="C758" s="286" t="s">
        <v>2975</v>
      </c>
      <c r="D758" s="865" t="s">
        <v>2975</v>
      </c>
      <c r="E758" s="287" t="s">
        <v>3562</v>
      </c>
      <c r="F758" s="287" t="s">
        <v>3559</v>
      </c>
      <c r="G758" s="288" t="s">
        <v>3569</v>
      </c>
      <c r="H758" s="287">
        <v>44856</v>
      </c>
      <c r="I758" s="287" t="s">
        <v>2975</v>
      </c>
      <c r="J758" s="759"/>
    </row>
    <row r="759" spans="1:10" x14ac:dyDescent="0.2">
      <c r="A759" s="944">
        <v>39035185101</v>
      </c>
      <c r="B759" s="239" t="s">
        <v>777</v>
      </c>
      <c r="C759" s="286" t="s">
        <v>2975</v>
      </c>
      <c r="D759" s="865" t="s">
        <v>2975</v>
      </c>
      <c r="E759" s="287" t="s">
        <v>3557</v>
      </c>
      <c r="F759" s="287" t="s">
        <v>5176</v>
      </c>
      <c r="G759" s="288" t="s">
        <v>3569</v>
      </c>
      <c r="H759" s="287">
        <v>44857</v>
      </c>
      <c r="I759" s="287" t="s">
        <v>2975</v>
      </c>
      <c r="J759" s="759"/>
    </row>
    <row r="760" spans="1:10" x14ac:dyDescent="0.2">
      <c r="A760" s="944">
        <v>39035185102</v>
      </c>
      <c r="B760" s="239" t="s">
        <v>778</v>
      </c>
      <c r="C760" s="286" t="s">
        <v>2975</v>
      </c>
      <c r="D760" s="865" t="s">
        <v>2975</v>
      </c>
      <c r="E760" s="287" t="s">
        <v>3564</v>
      </c>
      <c r="F760" s="287" t="s">
        <v>5176</v>
      </c>
      <c r="G760" s="288" t="s">
        <v>3569</v>
      </c>
      <c r="H760" s="287">
        <v>44859</v>
      </c>
      <c r="I760" s="287" t="s">
        <v>2975</v>
      </c>
      <c r="J760" s="759"/>
    </row>
    <row r="761" spans="1:10" x14ac:dyDescent="0.2">
      <c r="A761" s="944">
        <v>39035185103</v>
      </c>
      <c r="B761" s="239" t="s">
        <v>779</v>
      </c>
      <c r="C761" s="286" t="s">
        <v>2975</v>
      </c>
      <c r="D761" s="865" t="s">
        <v>2975</v>
      </c>
      <c r="E761" s="287" t="s">
        <v>3564</v>
      </c>
      <c r="F761" s="287" t="s">
        <v>3559</v>
      </c>
      <c r="G761" s="288" t="s">
        <v>3569</v>
      </c>
      <c r="H761" s="287">
        <v>44861</v>
      </c>
      <c r="I761" s="287" t="s">
        <v>2975</v>
      </c>
      <c r="J761" s="759"/>
    </row>
    <row r="762" spans="1:10" x14ac:dyDescent="0.2">
      <c r="A762" s="944">
        <v>39035185104</v>
      </c>
      <c r="B762" s="239" t="s">
        <v>780</v>
      </c>
      <c r="C762" s="286" t="s">
        <v>2975</v>
      </c>
      <c r="D762" s="865" t="s">
        <v>2975</v>
      </c>
      <c r="E762" s="287" t="s">
        <v>3566</v>
      </c>
      <c r="F762" s="287" t="s">
        <v>3565</v>
      </c>
      <c r="G762" s="288" t="s">
        <v>3569</v>
      </c>
      <c r="H762" s="287">
        <v>44864</v>
      </c>
      <c r="I762" s="287" t="s">
        <v>2975</v>
      </c>
      <c r="J762" s="759"/>
    </row>
    <row r="763" spans="1:10" x14ac:dyDescent="0.2">
      <c r="A763" s="944">
        <v>39035185201</v>
      </c>
      <c r="B763" s="239" t="s">
        <v>781</v>
      </c>
      <c r="C763" s="286" t="s">
        <v>2975</v>
      </c>
      <c r="D763" s="865" t="s">
        <v>2975</v>
      </c>
      <c r="E763" s="287" t="s">
        <v>3557</v>
      </c>
      <c r="F763" s="287" t="s">
        <v>3565</v>
      </c>
      <c r="G763" s="288" t="s">
        <v>3569</v>
      </c>
      <c r="H763" s="287">
        <v>44865</v>
      </c>
      <c r="I763" s="287" t="s">
        <v>2975</v>
      </c>
      <c r="J763" s="759"/>
    </row>
    <row r="764" spans="1:10" x14ac:dyDescent="0.2">
      <c r="A764" s="944">
        <v>39035185202</v>
      </c>
      <c r="B764" s="239" t="s">
        <v>782</v>
      </c>
      <c r="C764" s="286" t="s">
        <v>2975</v>
      </c>
      <c r="D764" s="865" t="s">
        <v>2975</v>
      </c>
      <c r="E764" s="287" t="s">
        <v>3564</v>
      </c>
      <c r="F764" s="287" t="s">
        <v>5176</v>
      </c>
      <c r="G764" s="288" t="s">
        <v>3569</v>
      </c>
      <c r="H764" s="287">
        <v>44866</v>
      </c>
      <c r="I764" s="287" t="s">
        <v>2975</v>
      </c>
      <c r="J764" s="759"/>
    </row>
    <row r="765" spans="1:10" x14ac:dyDescent="0.2">
      <c r="A765" s="944">
        <v>39035185203</v>
      </c>
      <c r="B765" s="239" t="s">
        <v>783</v>
      </c>
      <c r="C765" s="286" t="s">
        <v>2975</v>
      </c>
      <c r="D765" s="865" t="s">
        <v>2975</v>
      </c>
      <c r="E765" s="287" t="s">
        <v>3563</v>
      </c>
      <c r="F765" s="287" t="s">
        <v>3559</v>
      </c>
      <c r="G765" s="288" t="s">
        <v>3569</v>
      </c>
      <c r="H765" s="287">
        <v>44867</v>
      </c>
      <c r="I765" s="287" t="s">
        <v>2975</v>
      </c>
      <c r="J765" s="759"/>
    </row>
    <row r="766" spans="1:10" x14ac:dyDescent="0.2">
      <c r="A766" s="944">
        <v>39035186103</v>
      </c>
      <c r="B766" s="239" t="s">
        <v>784</v>
      </c>
      <c r="C766" s="286" t="s">
        <v>2975</v>
      </c>
      <c r="D766" s="865" t="s">
        <v>2975</v>
      </c>
      <c r="E766" s="287" t="s">
        <v>3562</v>
      </c>
      <c r="F766" s="287" t="s">
        <v>3558</v>
      </c>
      <c r="G766" s="288" t="s">
        <v>3569</v>
      </c>
      <c r="H766" s="287">
        <v>44870</v>
      </c>
      <c r="I766" s="287" t="s">
        <v>2975</v>
      </c>
      <c r="J766" s="759"/>
    </row>
    <row r="767" spans="1:10" x14ac:dyDescent="0.2">
      <c r="A767" s="944">
        <v>39035186104</v>
      </c>
      <c r="B767" s="239" t="s">
        <v>785</v>
      </c>
      <c r="C767" s="286" t="s">
        <v>2975</v>
      </c>
      <c r="D767" s="865" t="s">
        <v>2975</v>
      </c>
      <c r="E767" s="287" t="s">
        <v>3562</v>
      </c>
      <c r="F767" s="287" t="s">
        <v>5177</v>
      </c>
      <c r="G767" s="288" t="s">
        <v>3569</v>
      </c>
      <c r="H767" s="287">
        <v>44874</v>
      </c>
      <c r="I767" s="287" t="s">
        <v>2975</v>
      </c>
      <c r="J767" s="759"/>
    </row>
    <row r="768" spans="1:10" x14ac:dyDescent="0.2">
      <c r="A768" s="944">
        <v>39035186105</v>
      </c>
      <c r="B768" s="239" t="s">
        <v>786</v>
      </c>
      <c r="C768" s="286" t="s">
        <v>2975</v>
      </c>
      <c r="D768" s="865" t="s">
        <v>2975</v>
      </c>
      <c r="E768" s="287" t="s">
        <v>3562</v>
      </c>
      <c r="F768" s="287" t="s">
        <v>3565</v>
      </c>
      <c r="G768" s="288" t="s">
        <v>3569</v>
      </c>
      <c r="H768" s="287">
        <v>44875</v>
      </c>
      <c r="I768" s="287" t="s">
        <v>2975</v>
      </c>
      <c r="J768" s="759"/>
    </row>
    <row r="769" spans="1:10" x14ac:dyDescent="0.2">
      <c r="A769" s="944">
        <v>39035186106</v>
      </c>
      <c r="B769" s="239" t="s">
        <v>787</v>
      </c>
      <c r="C769" s="286" t="s">
        <v>2975</v>
      </c>
      <c r="D769" s="865" t="s">
        <v>2975</v>
      </c>
      <c r="E769" s="287" t="s">
        <v>3566</v>
      </c>
      <c r="F769" s="287" t="s">
        <v>5177</v>
      </c>
      <c r="G769" s="288" t="s">
        <v>3569</v>
      </c>
      <c r="H769" s="287">
        <v>44878</v>
      </c>
      <c r="I769" s="287" t="s">
        <v>2975</v>
      </c>
      <c r="J769" s="759"/>
    </row>
    <row r="770" spans="1:10" x14ac:dyDescent="0.2">
      <c r="A770" s="944">
        <v>39035186107</v>
      </c>
      <c r="B770" s="239" t="s">
        <v>788</v>
      </c>
      <c r="C770" s="286" t="s">
        <v>2975</v>
      </c>
      <c r="D770" s="865" t="s">
        <v>2975</v>
      </c>
      <c r="E770" s="287" t="s">
        <v>3562</v>
      </c>
      <c r="F770" s="287" t="s">
        <v>3558</v>
      </c>
      <c r="G770" s="288" t="s">
        <v>3569</v>
      </c>
      <c r="H770" s="287">
        <v>44880</v>
      </c>
      <c r="I770" s="287" t="s">
        <v>2975</v>
      </c>
      <c r="J770" s="759"/>
    </row>
    <row r="771" spans="1:10" x14ac:dyDescent="0.2">
      <c r="A771" s="944">
        <v>39035186201</v>
      </c>
      <c r="B771" s="239" t="s">
        <v>789</v>
      </c>
      <c r="C771" s="286" t="s">
        <v>2975</v>
      </c>
      <c r="D771" s="865" t="s">
        <v>2975</v>
      </c>
      <c r="E771" s="287" t="s">
        <v>3562</v>
      </c>
      <c r="F771" s="287" t="s">
        <v>5176</v>
      </c>
      <c r="G771" s="288" t="s">
        <v>3569</v>
      </c>
      <c r="H771" s="287">
        <v>44881</v>
      </c>
      <c r="I771" s="287" t="s">
        <v>2975</v>
      </c>
      <c r="J771" s="759"/>
    </row>
    <row r="772" spans="1:10" x14ac:dyDescent="0.2">
      <c r="A772" s="944">
        <v>39035186202</v>
      </c>
      <c r="B772" s="239" t="s">
        <v>790</v>
      </c>
      <c r="C772" s="286" t="s">
        <v>2975</v>
      </c>
      <c r="D772" s="865" t="s">
        <v>2975</v>
      </c>
      <c r="E772" s="287" t="s">
        <v>3562</v>
      </c>
      <c r="F772" s="287" t="s">
        <v>5176</v>
      </c>
      <c r="G772" s="288" t="s">
        <v>3569</v>
      </c>
      <c r="H772" s="287">
        <v>44882</v>
      </c>
      <c r="I772" s="287" t="s">
        <v>2975</v>
      </c>
      <c r="J772" s="759"/>
    </row>
    <row r="773" spans="1:10" x14ac:dyDescent="0.2">
      <c r="A773" s="944">
        <v>39035186203</v>
      </c>
      <c r="B773" s="239" t="s">
        <v>791</v>
      </c>
      <c r="C773" s="286" t="s">
        <v>2975</v>
      </c>
      <c r="D773" s="865" t="s">
        <v>2975</v>
      </c>
      <c r="E773" s="287" t="s">
        <v>3563</v>
      </c>
      <c r="F773" s="287" t="s">
        <v>5176</v>
      </c>
      <c r="G773" s="288" t="s">
        <v>3569</v>
      </c>
      <c r="H773" s="287">
        <v>44883</v>
      </c>
      <c r="I773" s="287" t="s">
        <v>2975</v>
      </c>
      <c r="J773" s="759"/>
    </row>
    <row r="774" spans="1:10" x14ac:dyDescent="0.2">
      <c r="A774" s="944">
        <v>39035186205</v>
      </c>
      <c r="B774" s="239" t="s">
        <v>792</v>
      </c>
      <c r="C774" s="286" t="s">
        <v>2975</v>
      </c>
      <c r="D774" s="865" t="s">
        <v>2975</v>
      </c>
      <c r="E774" s="287" t="s">
        <v>3562</v>
      </c>
      <c r="F774" s="287" t="s">
        <v>3559</v>
      </c>
      <c r="G774" s="288" t="s">
        <v>3569</v>
      </c>
      <c r="H774" s="287">
        <v>44887</v>
      </c>
      <c r="I774" s="287" t="s">
        <v>2975</v>
      </c>
      <c r="J774" s="759"/>
    </row>
    <row r="775" spans="1:10" x14ac:dyDescent="0.2">
      <c r="A775" s="944">
        <v>39035186206</v>
      </c>
      <c r="B775" s="239" t="s">
        <v>793</v>
      </c>
      <c r="C775" s="286" t="s">
        <v>2975</v>
      </c>
      <c r="D775" s="865" t="s">
        <v>2975</v>
      </c>
      <c r="E775" s="287" t="s">
        <v>3562</v>
      </c>
      <c r="F775" s="287" t="s">
        <v>3558</v>
      </c>
      <c r="G775" s="288" t="s">
        <v>3569</v>
      </c>
      <c r="H775" s="287">
        <v>44889</v>
      </c>
      <c r="I775" s="287" t="s">
        <v>2975</v>
      </c>
      <c r="J775" s="759"/>
    </row>
    <row r="776" spans="1:10" x14ac:dyDescent="0.2">
      <c r="A776" s="944">
        <v>39035187103</v>
      </c>
      <c r="B776" s="239" t="s">
        <v>794</v>
      </c>
      <c r="C776" s="286" t="s">
        <v>2975</v>
      </c>
      <c r="D776" s="865" t="s">
        <v>2975</v>
      </c>
      <c r="E776" s="287" t="s">
        <v>3566</v>
      </c>
      <c r="F776" s="287" t="s">
        <v>3560</v>
      </c>
      <c r="G776" s="288" t="s">
        <v>3569</v>
      </c>
      <c r="H776" s="287">
        <v>44890</v>
      </c>
      <c r="I776" s="287" t="s">
        <v>2975</v>
      </c>
      <c r="J776" s="759"/>
    </row>
    <row r="777" spans="1:10" x14ac:dyDescent="0.2">
      <c r="A777" s="944">
        <v>39035187104</v>
      </c>
      <c r="B777" s="239" t="s">
        <v>795</v>
      </c>
      <c r="C777" s="286" t="s">
        <v>2975</v>
      </c>
      <c r="D777" s="865" t="s">
        <v>2975</v>
      </c>
      <c r="E777" s="287" t="s">
        <v>3563</v>
      </c>
      <c r="F777" s="287" t="s">
        <v>3558</v>
      </c>
      <c r="G777" s="288" t="s">
        <v>3569</v>
      </c>
      <c r="H777" s="287">
        <v>44901</v>
      </c>
      <c r="I777" s="287" t="s">
        <v>2975</v>
      </c>
      <c r="J777" s="759"/>
    </row>
    <row r="778" spans="1:10" x14ac:dyDescent="0.2">
      <c r="A778" s="944">
        <v>39035187105</v>
      </c>
      <c r="B778" s="239" t="s">
        <v>796</v>
      </c>
      <c r="C778" s="286" t="s">
        <v>2975</v>
      </c>
      <c r="D778" s="865" t="s">
        <v>2975</v>
      </c>
      <c r="E778" s="287" t="s">
        <v>3563</v>
      </c>
      <c r="F778" s="287" t="s">
        <v>3565</v>
      </c>
      <c r="G778" s="288" t="s">
        <v>3569</v>
      </c>
      <c r="H778" s="287">
        <v>44902</v>
      </c>
      <c r="I778" s="287" t="s">
        <v>2975</v>
      </c>
      <c r="J778" s="759"/>
    </row>
    <row r="779" spans="1:10" x14ac:dyDescent="0.2">
      <c r="A779" s="944">
        <v>39035187106</v>
      </c>
      <c r="B779" s="239" t="s">
        <v>797</v>
      </c>
      <c r="C779" s="286" t="s">
        <v>2975</v>
      </c>
      <c r="D779" s="865" t="s">
        <v>2975</v>
      </c>
      <c r="E779" s="287" t="s">
        <v>3562</v>
      </c>
      <c r="F779" s="287" t="s">
        <v>5176</v>
      </c>
      <c r="G779" s="288" t="s">
        <v>3569</v>
      </c>
      <c r="H779" s="287">
        <v>44903</v>
      </c>
      <c r="I779" s="287" t="s">
        <v>2975</v>
      </c>
      <c r="J779" s="759"/>
    </row>
    <row r="780" spans="1:10" x14ac:dyDescent="0.2">
      <c r="A780" s="944">
        <v>39035188103</v>
      </c>
      <c r="B780" s="239" t="s">
        <v>798</v>
      </c>
      <c r="C780" s="286" t="s">
        <v>2975</v>
      </c>
      <c r="D780" s="865" t="s">
        <v>2975</v>
      </c>
      <c r="E780" s="287" t="s">
        <v>3557</v>
      </c>
      <c r="F780" s="287" t="s">
        <v>3558</v>
      </c>
      <c r="G780" s="288" t="s">
        <v>3569</v>
      </c>
      <c r="H780" s="287">
        <v>44904</v>
      </c>
      <c r="I780" s="287" t="s">
        <v>2975</v>
      </c>
      <c r="J780" s="759"/>
    </row>
    <row r="781" spans="1:10" x14ac:dyDescent="0.2">
      <c r="A781" s="944">
        <v>39035188104</v>
      </c>
      <c r="B781" s="239" t="s">
        <v>799</v>
      </c>
      <c r="C781" s="286" t="s">
        <v>2975</v>
      </c>
      <c r="D781" s="865" t="s">
        <v>2975</v>
      </c>
      <c r="E781" s="287" t="s">
        <v>3557</v>
      </c>
      <c r="F781" s="287" t="s">
        <v>3558</v>
      </c>
      <c r="G781" s="288" t="s">
        <v>3569</v>
      </c>
      <c r="H781" s="287">
        <v>44905</v>
      </c>
      <c r="I781" s="287" t="s">
        <v>2975</v>
      </c>
      <c r="J781" s="759"/>
    </row>
    <row r="782" spans="1:10" x14ac:dyDescent="0.2">
      <c r="A782" s="944">
        <v>39035188105</v>
      </c>
      <c r="B782" s="239" t="s">
        <v>800</v>
      </c>
      <c r="C782" s="286" t="s">
        <v>4330</v>
      </c>
      <c r="D782" s="865" t="s">
        <v>4330</v>
      </c>
      <c r="E782" s="287" t="s">
        <v>3557</v>
      </c>
      <c r="F782" s="287" t="s">
        <v>5176</v>
      </c>
      <c r="G782" s="288" t="s">
        <v>3569</v>
      </c>
      <c r="H782" s="287">
        <v>44906</v>
      </c>
      <c r="I782" s="287" t="s">
        <v>2975</v>
      </c>
      <c r="J782" s="759"/>
    </row>
    <row r="783" spans="1:10" x14ac:dyDescent="0.2">
      <c r="A783" s="944">
        <v>39035188106</v>
      </c>
      <c r="B783" s="239" t="s">
        <v>801</v>
      </c>
      <c r="C783" s="286" t="s">
        <v>2975</v>
      </c>
      <c r="D783" s="865" t="s">
        <v>2975</v>
      </c>
      <c r="E783" s="287" t="s">
        <v>3557</v>
      </c>
      <c r="F783" s="287" t="s">
        <v>3565</v>
      </c>
      <c r="G783" s="288" t="s">
        <v>3569</v>
      </c>
      <c r="H783" s="287">
        <v>44907</v>
      </c>
      <c r="I783" s="287" t="s">
        <v>2975</v>
      </c>
      <c r="J783" s="759"/>
    </row>
    <row r="784" spans="1:10" x14ac:dyDescent="0.2">
      <c r="A784" s="944">
        <v>39035188107</v>
      </c>
      <c r="B784" s="239" t="s">
        <v>802</v>
      </c>
      <c r="C784" s="286" t="s">
        <v>4330</v>
      </c>
      <c r="D784" s="865" t="s">
        <v>2975</v>
      </c>
      <c r="E784" s="287" t="s">
        <v>3557</v>
      </c>
      <c r="F784" s="287" t="s">
        <v>5176</v>
      </c>
      <c r="G784" s="288" t="s">
        <v>3569</v>
      </c>
      <c r="H784" s="287">
        <v>45001</v>
      </c>
      <c r="I784" s="287" t="s">
        <v>2975</v>
      </c>
      <c r="J784" s="759"/>
    </row>
    <row r="785" spans="1:10" x14ac:dyDescent="0.2">
      <c r="A785" s="944">
        <v>39035189105</v>
      </c>
      <c r="B785" s="239" t="s">
        <v>803</v>
      </c>
      <c r="C785" s="286" t="s">
        <v>2975</v>
      </c>
      <c r="D785" s="865" t="s">
        <v>2975</v>
      </c>
      <c r="E785" s="287" t="s">
        <v>3562</v>
      </c>
      <c r="F785" s="287" t="s">
        <v>3558</v>
      </c>
      <c r="G785" s="288" t="s">
        <v>3569</v>
      </c>
      <c r="H785" s="287">
        <v>45002</v>
      </c>
      <c r="I785" s="287" t="s">
        <v>2975</v>
      </c>
      <c r="J785" s="759"/>
    </row>
    <row r="786" spans="1:10" x14ac:dyDescent="0.2">
      <c r="A786" s="944">
        <v>39035189107</v>
      </c>
      <c r="B786" s="239" t="s">
        <v>804</v>
      </c>
      <c r="C786" s="286" t="s">
        <v>2975</v>
      </c>
      <c r="D786" s="865" t="s">
        <v>2975</v>
      </c>
      <c r="E786" s="287" t="s">
        <v>3562</v>
      </c>
      <c r="F786" s="287" t="s">
        <v>5176</v>
      </c>
      <c r="G786" s="288" t="s">
        <v>3569</v>
      </c>
      <c r="H786" s="287">
        <v>45003</v>
      </c>
      <c r="I786" s="287" t="s">
        <v>2975</v>
      </c>
      <c r="J786" s="759"/>
    </row>
    <row r="787" spans="1:10" x14ac:dyDescent="0.2">
      <c r="A787" s="944">
        <v>39035189108</v>
      </c>
      <c r="B787" s="239" t="s">
        <v>805</v>
      </c>
      <c r="C787" s="286" t="s">
        <v>2975</v>
      </c>
      <c r="D787" s="865" t="s">
        <v>2975</v>
      </c>
      <c r="E787" s="287" t="s">
        <v>3562</v>
      </c>
      <c r="F787" s="287" t="s">
        <v>3565</v>
      </c>
      <c r="G787" s="288" t="s">
        <v>3569</v>
      </c>
      <c r="H787" s="287">
        <v>45005</v>
      </c>
      <c r="I787" s="287" t="s">
        <v>2975</v>
      </c>
      <c r="J787" s="759"/>
    </row>
    <row r="788" spans="1:10" x14ac:dyDescent="0.2">
      <c r="A788" s="944">
        <v>39035189109</v>
      </c>
      <c r="B788" s="239" t="s">
        <v>806</v>
      </c>
      <c r="C788" s="286" t="s">
        <v>2975</v>
      </c>
      <c r="D788" s="865" t="s">
        <v>2975</v>
      </c>
      <c r="E788" s="287" t="s">
        <v>3563</v>
      </c>
      <c r="F788" s="287" t="s">
        <v>3558</v>
      </c>
      <c r="G788" s="288" t="s">
        <v>3569</v>
      </c>
      <c r="H788" s="287">
        <v>45011</v>
      </c>
      <c r="I788" s="287" t="s">
        <v>2975</v>
      </c>
      <c r="J788" s="759"/>
    </row>
    <row r="789" spans="1:10" x14ac:dyDescent="0.2">
      <c r="A789" s="944">
        <v>39035189110</v>
      </c>
      <c r="B789" s="239" t="s">
        <v>807</v>
      </c>
      <c r="C789" s="286" t="s">
        <v>2975</v>
      </c>
      <c r="D789" s="865" t="s">
        <v>2975</v>
      </c>
      <c r="E789" s="287" t="s">
        <v>3562</v>
      </c>
      <c r="F789" s="287" t="s">
        <v>5176</v>
      </c>
      <c r="G789" s="288" t="s">
        <v>3569</v>
      </c>
      <c r="H789" s="287">
        <v>45013</v>
      </c>
      <c r="I789" s="287" t="s">
        <v>2975</v>
      </c>
      <c r="J789" s="759"/>
    </row>
    <row r="790" spans="1:10" x14ac:dyDescent="0.2">
      <c r="A790" s="944">
        <v>39035189111</v>
      </c>
      <c r="B790" s="239" t="s">
        <v>808</v>
      </c>
      <c r="C790" s="286" t="s">
        <v>2975</v>
      </c>
      <c r="D790" s="865" t="s">
        <v>2975</v>
      </c>
      <c r="E790" s="287" t="s">
        <v>3562</v>
      </c>
      <c r="F790" s="287" t="s">
        <v>3558</v>
      </c>
      <c r="G790" s="288" t="s">
        <v>3569</v>
      </c>
      <c r="H790" s="287">
        <v>45014</v>
      </c>
      <c r="I790" s="287" t="s">
        <v>2975</v>
      </c>
      <c r="J790" s="759"/>
    </row>
    <row r="791" spans="1:10" x14ac:dyDescent="0.2">
      <c r="A791" s="944">
        <v>39035189112</v>
      </c>
      <c r="B791" s="239" t="s">
        <v>809</v>
      </c>
      <c r="C791" s="286" t="s">
        <v>2975</v>
      </c>
      <c r="D791" s="865" t="s">
        <v>2975</v>
      </c>
      <c r="E791" s="287" t="s">
        <v>3562</v>
      </c>
      <c r="F791" s="287" t="s">
        <v>3559</v>
      </c>
      <c r="G791" s="288" t="s">
        <v>3569</v>
      </c>
      <c r="H791" s="287">
        <v>45015</v>
      </c>
      <c r="I791" s="287" t="s">
        <v>2975</v>
      </c>
      <c r="J791" s="759"/>
    </row>
    <row r="792" spans="1:10" x14ac:dyDescent="0.2">
      <c r="A792" s="944">
        <v>39035190502</v>
      </c>
      <c r="B792" s="239" t="s">
        <v>810</v>
      </c>
      <c r="C792" s="286" t="s">
        <v>2975</v>
      </c>
      <c r="D792" s="865" t="s">
        <v>2975</v>
      </c>
      <c r="E792" s="287" t="s">
        <v>3566</v>
      </c>
      <c r="F792" s="287" t="s">
        <v>5176</v>
      </c>
      <c r="G792" s="288" t="s">
        <v>3569</v>
      </c>
      <c r="H792" s="287">
        <v>45030</v>
      </c>
      <c r="I792" s="287" t="s">
        <v>2975</v>
      </c>
      <c r="J792" s="759"/>
    </row>
    <row r="793" spans="1:10" x14ac:dyDescent="0.2">
      <c r="A793" s="944">
        <v>39035190503</v>
      </c>
      <c r="B793" s="239" t="s">
        <v>811</v>
      </c>
      <c r="C793" s="286" t="s">
        <v>2975</v>
      </c>
      <c r="D793" s="865" t="s">
        <v>2975</v>
      </c>
      <c r="E793" s="287" t="s">
        <v>3563</v>
      </c>
      <c r="F793" s="287" t="s">
        <v>3565</v>
      </c>
      <c r="G793" s="288" t="s">
        <v>3569</v>
      </c>
      <c r="H793" s="287">
        <v>45032</v>
      </c>
      <c r="I793" s="287" t="s">
        <v>2975</v>
      </c>
      <c r="J793" s="759"/>
    </row>
    <row r="794" spans="1:10" x14ac:dyDescent="0.2">
      <c r="A794" s="944">
        <v>39035190504</v>
      </c>
      <c r="B794" s="239" t="s">
        <v>812</v>
      </c>
      <c r="C794" s="286" t="s">
        <v>2975</v>
      </c>
      <c r="D794" s="865" t="s">
        <v>2975</v>
      </c>
      <c r="E794" s="287" t="s">
        <v>3563</v>
      </c>
      <c r="F794" s="287" t="s">
        <v>3559</v>
      </c>
      <c r="G794" s="288" t="s">
        <v>3569</v>
      </c>
      <c r="H794" s="287">
        <v>45033</v>
      </c>
      <c r="I794" s="287" t="s">
        <v>2975</v>
      </c>
      <c r="J794" s="759"/>
    </row>
    <row r="795" spans="1:10" x14ac:dyDescent="0.2">
      <c r="A795" s="944">
        <v>39035192300</v>
      </c>
      <c r="B795" s="239" t="s">
        <v>813</v>
      </c>
      <c r="C795" s="286" t="s">
        <v>2975</v>
      </c>
      <c r="D795" s="865" t="s">
        <v>2975</v>
      </c>
      <c r="E795" s="287" t="s">
        <v>3562</v>
      </c>
      <c r="F795" s="287" t="s">
        <v>3559</v>
      </c>
      <c r="G795" s="288" t="s">
        <v>3569</v>
      </c>
      <c r="H795" s="287">
        <v>45034</v>
      </c>
      <c r="I795" s="287" t="s">
        <v>2975</v>
      </c>
      <c r="J795" s="759"/>
    </row>
    <row r="796" spans="1:10" x14ac:dyDescent="0.2">
      <c r="A796" s="944">
        <v>39035192800</v>
      </c>
      <c r="B796" s="239" t="s">
        <v>814</v>
      </c>
      <c r="C796" s="286" t="s">
        <v>2975</v>
      </c>
      <c r="D796" s="865" t="s">
        <v>2975</v>
      </c>
      <c r="E796" s="287" t="s">
        <v>3562</v>
      </c>
      <c r="F796" s="287" t="s">
        <v>3565</v>
      </c>
      <c r="G796" s="288" t="s">
        <v>3569</v>
      </c>
      <c r="H796" s="287">
        <v>45036</v>
      </c>
      <c r="I796" s="287" t="s">
        <v>2975</v>
      </c>
      <c r="J796" s="759"/>
    </row>
    <row r="797" spans="1:10" x14ac:dyDescent="0.2">
      <c r="A797" s="944">
        <v>39035192900</v>
      </c>
      <c r="B797" s="239" t="s">
        <v>815</v>
      </c>
      <c r="C797" s="286" t="s">
        <v>2975</v>
      </c>
      <c r="D797" s="865" t="s">
        <v>2975</v>
      </c>
      <c r="E797" s="287" t="s">
        <v>3562</v>
      </c>
      <c r="F797" s="287" t="s">
        <v>3559</v>
      </c>
      <c r="G797" s="288" t="s">
        <v>3569</v>
      </c>
      <c r="H797" s="287">
        <v>45039</v>
      </c>
      <c r="I797" s="287" t="s">
        <v>2975</v>
      </c>
      <c r="J797" s="759"/>
    </row>
    <row r="798" spans="1:10" x14ac:dyDescent="0.2">
      <c r="A798" s="944">
        <v>39035193800</v>
      </c>
      <c r="B798" s="239" t="s">
        <v>816</v>
      </c>
      <c r="C798" s="286" t="s">
        <v>2975</v>
      </c>
      <c r="D798" s="865" t="s">
        <v>2975</v>
      </c>
      <c r="E798" s="287" t="s">
        <v>3557</v>
      </c>
      <c r="F798" s="287" t="s">
        <v>3558</v>
      </c>
      <c r="G798" s="288" t="s">
        <v>3569</v>
      </c>
      <c r="H798" s="287">
        <v>45040</v>
      </c>
      <c r="I798" s="287" t="s">
        <v>2975</v>
      </c>
      <c r="J798" s="759"/>
    </row>
    <row r="799" spans="1:10" x14ac:dyDescent="0.2">
      <c r="A799" s="944">
        <v>39035193900</v>
      </c>
      <c r="B799" s="239" t="s">
        <v>817</v>
      </c>
      <c r="C799" s="286" t="s">
        <v>4330</v>
      </c>
      <c r="D799" s="865" t="s">
        <v>4330</v>
      </c>
      <c r="E799" s="287" t="s">
        <v>3557</v>
      </c>
      <c r="F799" s="287" t="s">
        <v>5177</v>
      </c>
      <c r="G799" s="288" t="s">
        <v>3569</v>
      </c>
      <c r="H799" s="287">
        <v>45041</v>
      </c>
      <c r="I799" s="287" t="s">
        <v>2975</v>
      </c>
      <c r="J799" s="759"/>
    </row>
    <row r="800" spans="1:10" x14ac:dyDescent="0.2">
      <c r="A800" s="944">
        <v>39035194100</v>
      </c>
      <c r="B800" s="239" t="s">
        <v>818</v>
      </c>
      <c r="C800" s="286" t="s">
        <v>2975</v>
      </c>
      <c r="D800" s="865" t="s">
        <v>2975</v>
      </c>
      <c r="E800" s="287" t="s">
        <v>3563</v>
      </c>
      <c r="F800" s="287" t="s">
        <v>3558</v>
      </c>
      <c r="G800" s="288" t="s">
        <v>3569</v>
      </c>
      <c r="H800" s="287">
        <v>45042</v>
      </c>
      <c r="I800" s="287" t="s">
        <v>2975</v>
      </c>
      <c r="J800" s="759"/>
    </row>
    <row r="801" spans="1:10" x14ac:dyDescent="0.2">
      <c r="A801" s="944">
        <v>39035194300</v>
      </c>
      <c r="B801" s="239" t="s">
        <v>819</v>
      </c>
      <c r="C801" s="286" t="s">
        <v>2975</v>
      </c>
      <c r="D801" s="865" t="s">
        <v>2975</v>
      </c>
      <c r="E801" s="287" t="s">
        <v>3562</v>
      </c>
      <c r="F801" s="287" t="s">
        <v>3565</v>
      </c>
      <c r="G801" s="288" t="s">
        <v>3569</v>
      </c>
      <c r="H801" s="287">
        <v>45044</v>
      </c>
      <c r="I801" s="287" t="s">
        <v>2975</v>
      </c>
      <c r="J801" s="759"/>
    </row>
    <row r="802" spans="1:10" x14ac:dyDescent="0.2">
      <c r="A802" s="944">
        <v>39035194500</v>
      </c>
      <c r="B802" s="239" t="s">
        <v>820</v>
      </c>
      <c r="C802" s="286" t="s">
        <v>2975</v>
      </c>
      <c r="D802" s="865" t="s">
        <v>2975</v>
      </c>
      <c r="E802" s="287" t="s">
        <v>3562</v>
      </c>
      <c r="F802" s="287" t="s">
        <v>3559</v>
      </c>
      <c r="G802" s="288" t="s">
        <v>3569</v>
      </c>
      <c r="H802" s="287">
        <v>45050</v>
      </c>
      <c r="I802" s="287" t="s">
        <v>2975</v>
      </c>
      <c r="J802" s="759"/>
    </row>
    <row r="803" spans="1:10" x14ac:dyDescent="0.2">
      <c r="A803" s="944">
        <v>39035194800</v>
      </c>
      <c r="B803" s="239" t="s">
        <v>821</v>
      </c>
      <c r="C803" s="286" t="s">
        <v>2975</v>
      </c>
      <c r="D803" s="865" t="s">
        <v>2975</v>
      </c>
      <c r="E803" s="287" t="s">
        <v>3563</v>
      </c>
      <c r="F803" s="287" t="s">
        <v>3559</v>
      </c>
      <c r="G803" s="288" t="s">
        <v>3569</v>
      </c>
      <c r="H803" s="287">
        <v>45051</v>
      </c>
      <c r="I803" s="287" t="s">
        <v>2975</v>
      </c>
      <c r="J803" s="759"/>
    </row>
    <row r="804" spans="1:10" x14ac:dyDescent="0.2">
      <c r="A804" s="944">
        <v>39035194900</v>
      </c>
      <c r="B804" s="239" t="s">
        <v>822</v>
      </c>
      <c r="C804" s="286" t="s">
        <v>2975</v>
      </c>
      <c r="D804" s="865" t="s">
        <v>2975</v>
      </c>
      <c r="E804" s="287" t="s">
        <v>3562</v>
      </c>
      <c r="F804" s="287" t="s">
        <v>5176</v>
      </c>
      <c r="G804" s="288" t="s">
        <v>3569</v>
      </c>
      <c r="H804" s="287">
        <v>45052</v>
      </c>
      <c r="I804" s="287" t="s">
        <v>2975</v>
      </c>
      <c r="J804" s="759"/>
    </row>
    <row r="805" spans="1:10" x14ac:dyDescent="0.2">
      <c r="A805" s="944">
        <v>39035195600</v>
      </c>
      <c r="B805" s="239" t="s">
        <v>823</v>
      </c>
      <c r="C805" s="286" t="s">
        <v>2975</v>
      </c>
      <c r="D805" s="865" t="s">
        <v>2975</v>
      </c>
      <c r="E805" s="287" t="s">
        <v>3557</v>
      </c>
      <c r="F805" s="287" t="s">
        <v>5176</v>
      </c>
      <c r="G805" s="288" t="s">
        <v>3569</v>
      </c>
      <c r="H805" s="287">
        <v>45053</v>
      </c>
      <c r="I805" s="287" t="s">
        <v>2975</v>
      </c>
      <c r="J805" s="759"/>
    </row>
    <row r="806" spans="1:10" x14ac:dyDescent="0.2">
      <c r="A806" s="944">
        <v>39035195700</v>
      </c>
      <c r="B806" s="239" t="s">
        <v>824</v>
      </c>
      <c r="C806" s="286" t="s">
        <v>2975</v>
      </c>
      <c r="D806" s="865" t="s">
        <v>2975</v>
      </c>
      <c r="E806" s="287" t="s">
        <v>3557</v>
      </c>
      <c r="F806" s="287" t="s">
        <v>3565</v>
      </c>
      <c r="G806" s="288" t="s">
        <v>3569</v>
      </c>
      <c r="H806" s="287">
        <v>45054</v>
      </c>
      <c r="I806" s="287" t="s">
        <v>2975</v>
      </c>
      <c r="J806" s="759"/>
    </row>
    <row r="807" spans="1:10" x14ac:dyDescent="0.2">
      <c r="A807" s="944">
        <v>39035195800</v>
      </c>
      <c r="B807" s="239" t="s">
        <v>825</v>
      </c>
      <c r="C807" s="286" t="s">
        <v>2975</v>
      </c>
      <c r="D807" s="865" t="s">
        <v>2975</v>
      </c>
      <c r="E807" s="287" t="s">
        <v>3562</v>
      </c>
      <c r="F807" s="287" t="s">
        <v>5176</v>
      </c>
      <c r="G807" s="288" t="s">
        <v>3569</v>
      </c>
      <c r="H807" s="287">
        <v>45056</v>
      </c>
      <c r="I807" s="287" t="s">
        <v>2975</v>
      </c>
      <c r="J807" s="759"/>
    </row>
    <row r="808" spans="1:10" x14ac:dyDescent="0.2">
      <c r="A808" s="944">
        <v>39035195900</v>
      </c>
      <c r="B808" s="239" t="s">
        <v>826</v>
      </c>
      <c r="C808" s="286" t="s">
        <v>2975</v>
      </c>
      <c r="D808" s="865" t="s">
        <v>2975</v>
      </c>
      <c r="E808" s="287" t="s">
        <v>3562</v>
      </c>
      <c r="F808" s="287" t="s">
        <v>5177</v>
      </c>
      <c r="G808" s="288" t="s">
        <v>3569</v>
      </c>
      <c r="H808" s="287">
        <v>45062</v>
      </c>
      <c r="I808" s="287" t="s">
        <v>2975</v>
      </c>
      <c r="J808" s="759"/>
    </row>
    <row r="809" spans="1:10" x14ac:dyDescent="0.2">
      <c r="A809" s="944">
        <v>39035196000</v>
      </c>
      <c r="B809" s="239" t="s">
        <v>827</v>
      </c>
      <c r="C809" s="286" t="s">
        <v>2975</v>
      </c>
      <c r="D809" s="865" t="s">
        <v>2975</v>
      </c>
      <c r="E809" s="287" t="s">
        <v>3566</v>
      </c>
      <c r="F809" s="287" t="s">
        <v>5176</v>
      </c>
      <c r="G809" s="288" t="s">
        <v>3569</v>
      </c>
      <c r="H809" s="287">
        <v>45064</v>
      </c>
      <c r="I809" s="287" t="s">
        <v>2975</v>
      </c>
      <c r="J809" s="759"/>
    </row>
    <row r="810" spans="1:10" x14ac:dyDescent="0.2">
      <c r="A810" s="944">
        <v>39035196100</v>
      </c>
      <c r="B810" s="239" t="s">
        <v>828</v>
      </c>
      <c r="C810" s="286" t="s">
        <v>2975</v>
      </c>
      <c r="D810" s="865" t="s">
        <v>2975</v>
      </c>
      <c r="E810" s="287" t="s">
        <v>3564</v>
      </c>
      <c r="F810" s="287" t="s">
        <v>3565</v>
      </c>
      <c r="G810" s="288" t="s">
        <v>3569</v>
      </c>
      <c r="H810" s="287">
        <v>45065</v>
      </c>
      <c r="I810" s="287" t="s">
        <v>2975</v>
      </c>
      <c r="J810" s="759"/>
    </row>
    <row r="811" spans="1:10" x14ac:dyDescent="0.2">
      <c r="A811" s="944">
        <v>39035196200</v>
      </c>
      <c r="B811" s="239" t="s">
        <v>829</v>
      </c>
      <c r="C811" s="286" t="s">
        <v>4330</v>
      </c>
      <c r="D811" s="865" t="s">
        <v>4330</v>
      </c>
      <c r="E811" s="287" t="s">
        <v>3557</v>
      </c>
      <c r="F811" s="287" t="s">
        <v>5176</v>
      </c>
      <c r="G811" s="288" t="s">
        <v>3569</v>
      </c>
      <c r="H811" s="287">
        <v>45066</v>
      </c>
      <c r="I811" s="287" t="s">
        <v>2975</v>
      </c>
      <c r="J811" s="759"/>
    </row>
    <row r="812" spans="1:10" x14ac:dyDescent="0.2">
      <c r="A812" s="944">
        <v>39035196300</v>
      </c>
      <c r="B812" s="239" t="s">
        <v>830</v>
      </c>
      <c r="C812" s="286" t="s">
        <v>2975</v>
      </c>
      <c r="D812" s="865" t="s">
        <v>2975</v>
      </c>
      <c r="E812" s="287" t="s">
        <v>3562</v>
      </c>
      <c r="F812" s="287" t="s">
        <v>3559</v>
      </c>
      <c r="G812" s="288" t="s">
        <v>3569</v>
      </c>
      <c r="H812" s="287">
        <v>45067</v>
      </c>
      <c r="I812" s="287" t="s">
        <v>2975</v>
      </c>
      <c r="J812" s="759"/>
    </row>
    <row r="813" spans="1:10" x14ac:dyDescent="0.2">
      <c r="A813" s="944">
        <v>39035196400</v>
      </c>
      <c r="B813" s="239" t="s">
        <v>831</v>
      </c>
      <c r="C813" s="286" t="s">
        <v>4330</v>
      </c>
      <c r="D813" s="865" t="s">
        <v>4330</v>
      </c>
      <c r="E813" s="287" t="s">
        <v>3557</v>
      </c>
      <c r="F813" s="287" t="s">
        <v>5176</v>
      </c>
      <c r="G813" s="288" t="s">
        <v>3553</v>
      </c>
      <c r="H813" s="287">
        <v>45068</v>
      </c>
      <c r="I813" s="287" t="s">
        <v>2975</v>
      </c>
      <c r="J813" s="759"/>
    </row>
    <row r="814" spans="1:10" x14ac:dyDescent="0.2">
      <c r="A814" s="944">
        <v>39035196500</v>
      </c>
      <c r="B814" s="239" t="s">
        <v>832</v>
      </c>
      <c r="C814" s="286" t="s">
        <v>4330</v>
      </c>
      <c r="D814" s="865" t="s">
        <v>4330</v>
      </c>
      <c r="E814" s="287" t="s">
        <v>3557</v>
      </c>
      <c r="F814" s="287" t="s">
        <v>3558</v>
      </c>
      <c r="G814" s="288" t="s">
        <v>3553</v>
      </c>
      <c r="H814" s="287">
        <v>45069</v>
      </c>
      <c r="I814" s="287" t="s">
        <v>2975</v>
      </c>
      <c r="J814" s="759"/>
    </row>
    <row r="815" spans="1:10" x14ac:dyDescent="0.2">
      <c r="A815" s="944">
        <v>39035980100</v>
      </c>
      <c r="B815" s="239" t="s">
        <v>833</v>
      </c>
      <c r="C815" s="286" t="s">
        <v>2975</v>
      </c>
      <c r="D815" s="865" t="s">
        <v>2975</v>
      </c>
      <c r="E815" s="287"/>
      <c r="F815" s="287" t="s">
        <v>5178</v>
      </c>
      <c r="G815" s="288" t="s">
        <v>3553</v>
      </c>
      <c r="H815" s="287">
        <v>45070</v>
      </c>
      <c r="I815" s="287" t="s">
        <v>2975</v>
      </c>
      <c r="J815" s="759"/>
    </row>
    <row r="816" spans="1:10" x14ac:dyDescent="0.2">
      <c r="A816" s="944">
        <v>39035980500</v>
      </c>
      <c r="B816" s="239" t="s">
        <v>834</v>
      </c>
      <c r="C816" s="286" t="s">
        <v>2975</v>
      </c>
      <c r="D816" s="865" t="s">
        <v>2975</v>
      </c>
      <c r="E816" s="287"/>
      <c r="F816" s="287" t="s">
        <v>5178</v>
      </c>
      <c r="G816" s="288" t="s">
        <v>3569</v>
      </c>
      <c r="H816" s="287">
        <v>45101</v>
      </c>
      <c r="I816" s="287" t="s">
        <v>2975</v>
      </c>
      <c r="J816" s="759"/>
    </row>
    <row r="817" spans="1:10" x14ac:dyDescent="0.2">
      <c r="A817" s="944">
        <v>39035981100</v>
      </c>
      <c r="B817" s="239" t="s">
        <v>835</v>
      </c>
      <c r="C817" s="286" t="s">
        <v>2975</v>
      </c>
      <c r="D817" s="865" t="s">
        <v>2975</v>
      </c>
      <c r="E817" s="287"/>
      <c r="F817" s="287" t="s">
        <v>5178</v>
      </c>
      <c r="G817" s="288" t="s">
        <v>3569</v>
      </c>
      <c r="H817" s="287">
        <v>45102</v>
      </c>
      <c r="I817" s="287" t="s">
        <v>2975</v>
      </c>
      <c r="J817" s="759"/>
    </row>
    <row r="818" spans="1:10" x14ac:dyDescent="0.2">
      <c r="A818" s="944">
        <v>39037500100</v>
      </c>
      <c r="B818" s="239" t="s">
        <v>836</v>
      </c>
      <c r="C818" s="286" t="s">
        <v>2975</v>
      </c>
      <c r="D818" s="865" t="s">
        <v>2975</v>
      </c>
      <c r="E818" s="287" t="s">
        <v>3563</v>
      </c>
      <c r="F818" s="287" t="s">
        <v>3559</v>
      </c>
      <c r="G818" s="288" t="s">
        <v>3568</v>
      </c>
      <c r="H818" s="287">
        <v>45103</v>
      </c>
      <c r="I818" s="287" t="s">
        <v>2975</v>
      </c>
      <c r="J818" s="759"/>
    </row>
    <row r="819" spans="1:10" x14ac:dyDescent="0.2">
      <c r="A819" s="944">
        <v>39037510100</v>
      </c>
      <c r="B819" s="239" t="s">
        <v>837</v>
      </c>
      <c r="C819" s="286" t="s">
        <v>2975</v>
      </c>
      <c r="D819" s="865" t="s">
        <v>2975</v>
      </c>
      <c r="E819" s="287" t="s">
        <v>3564</v>
      </c>
      <c r="F819" s="287" t="s">
        <v>3565</v>
      </c>
      <c r="G819" s="288" t="s">
        <v>3568</v>
      </c>
      <c r="H819" s="287">
        <v>45106</v>
      </c>
      <c r="I819" s="287" t="s">
        <v>2975</v>
      </c>
      <c r="J819" s="759"/>
    </row>
    <row r="820" spans="1:10" x14ac:dyDescent="0.2">
      <c r="A820" s="944">
        <v>39037520100</v>
      </c>
      <c r="B820" s="239" t="s">
        <v>838</v>
      </c>
      <c r="C820" s="286" t="s">
        <v>2975</v>
      </c>
      <c r="D820" s="865" t="s">
        <v>2975</v>
      </c>
      <c r="E820" s="287" t="s">
        <v>3563</v>
      </c>
      <c r="F820" s="287" t="s">
        <v>5177</v>
      </c>
      <c r="G820" s="288" t="s">
        <v>3568</v>
      </c>
      <c r="H820" s="287">
        <v>45107</v>
      </c>
      <c r="I820" s="287" t="s">
        <v>2975</v>
      </c>
      <c r="J820" s="759"/>
    </row>
    <row r="821" spans="1:10" x14ac:dyDescent="0.2">
      <c r="A821" s="944">
        <v>39037530100</v>
      </c>
      <c r="B821" s="239" t="s">
        <v>839</v>
      </c>
      <c r="C821" s="286" t="s">
        <v>2975</v>
      </c>
      <c r="D821" s="865" t="s">
        <v>2975</v>
      </c>
      <c r="E821" s="287" t="s">
        <v>3562</v>
      </c>
      <c r="F821" s="287" t="s">
        <v>5177</v>
      </c>
      <c r="G821" s="288" t="s">
        <v>3568</v>
      </c>
      <c r="H821" s="287">
        <v>45111</v>
      </c>
      <c r="I821" s="287" t="s">
        <v>2975</v>
      </c>
      <c r="J821" s="759"/>
    </row>
    <row r="822" spans="1:10" x14ac:dyDescent="0.2">
      <c r="A822" s="944">
        <v>39037540100</v>
      </c>
      <c r="B822" s="239" t="s">
        <v>840</v>
      </c>
      <c r="C822" s="286" t="s">
        <v>2975</v>
      </c>
      <c r="D822" s="865" t="s">
        <v>2975</v>
      </c>
      <c r="E822" s="287" t="s">
        <v>3566</v>
      </c>
      <c r="F822" s="287" t="s">
        <v>5177</v>
      </c>
      <c r="G822" s="288" t="s">
        <v>3568</v>
      </c>
      <c r="H822" s="287">
        <v>45112</v>
      </c>
      <c r="I822" s="287" t="s">
        <v>2975</v>
      </c>
      <c r="J822" s="759"/>
    </row>
    <row r="823" spans="1:10" x14ac:dyDescent="0.2">
      <c r="A823" s="944">
        <v>39037550100</v>
      </c>
      <c r="B823" s="239" t="s">
        <v>841</v>
      </c>
      <c r="C823" s="286" t="s">
        <v>2975</v>
      </c>
      <c r="D823" s="865" t="s">
        <v>2975</v>
      </c>
      <c r="E823" s="287" t="s">
        <v>3566</v>
      </c>
      <c r="F823" s="287" t="s">
        <v>3559</v>
      </c>
      <c r="G823" s="288" t="s">
        <v>3568</v>
      </c>
      <c r="H823" s="287">
        <v>45113</v>
      </c>
      <c r="I823" s="287" t="s">
        <v>2975</v>
      </c>
      <c r="J823" s="759"/>
    </row>
    <row r="824" spans="1:10" x14ac:dyDescent="0.2">
      <c r="A824" s="944">
        <v>39037555000</v>
      </c>
      <c r="B824" s="239" t="s">
        <v>842</v>
      </c>
      <c r="C824" s="286" t="s">
        <v>2975</v>
      </c>
      <c r="D824" s="865" t="s">
        <v>2975</v>
      </c>
      <c r="E824" s="287" t="s">
        <v>3563</v>
      </c>
      <c r="F824" s="287" t="s">
        <v>5177</v>
      </c>
      <c r="G824" s="288" t="s">
        <v>3568</v>
      </c>
      <c r="H824" s="287">
        <v>45115</v>
      </c>
      <c r="I824" s="287" t="s">
        <v>2975</v>
      </c>
      <c r="J824" s="759"/>
    </row>
    <row r="825" spans="1:10" x14ac:dyDescent="0.2">
      <c r="A825" s="944">
        <v>39037555101</v>
      </c>
      <c r="B825" s="239" t="s">
        <v>843</v>
      </c>
      <c r="C825" s="286" t="s">
        <v>2975</v>
      </c>
      <c r="D825" s="865" t="s">
        <v>2975</v>
      </c>
      <c r="E825" s="287" t="s">
        <v>3557</v>
      </c>
      <c r="F825" s="287" t="s">
        <v>3558</v>
      </c>
      <c r="G825" s="288" t="s">
        <v>3568</v>
      </c>
      <c r="H825" s="287">
        <v>45118</v>
      </c>
      <c r="I825" s="287" t="s">
        <v>2975</v>
      </c>
      <c r="J825" s="759"/>
    </row>
    <row r="826" spans="1:10" x14ac:dyDescent="0.2">
      <c r="A826" s="944">
        <v>39037555102</v>
      </c>
      <c r="B826" s="239" t="s">
        <v>844</v>
      </c>
      <c r="C826" s="286" t="s">
        <v>2975</v>
      </c>
      <c r="D826" s="865" t="s">
        <v>2975</v>
      </c>
      <c r="E826" s="287" t="s">
        <v>3557</v>
      </c>
      <c r="F826" s="287" t="s">
        <v>5176</v>
      </c>
      <c r="G826" s="288" t="s">
        <v>3568</v>
      </c>
      <c r="H826" s="287">
        <v>45120</v>
      </c>
      <c r="I826" s="287" t="s">
        <v>2975</v>
      </c>
      <c r="J826" s="759"/>
    </row>
    <row r="827" spans="1:10" x14ac:dyDescent="0.2">
      <c r="A827" s="944">
        <v>39037560100</v>
      </c>
      <c r="B827" s="239" t="s">
        <v>845</v>
      </c>
      <c r="C827" s="286" t="s">
        <v>2975</v>
      </c>
      <c r="D827" s="865" t="s">
        <v>2975</v>
      </c>
      <c r="E827" s="287" t="s">
        <v>3566</v>
      </c>
      <c r="F827" s="287" t="s">
        <v>3558</v>
      </c>
      <c r="G827" s="288" t="s">
        <v>3568</v>
      </c>
      <c r="H827" s="287">
        <v>45121</v>
      </c>
      <c r="I827" s="287" t="s">
        <v>2975</v>
      </c>
      <c r="J827" s="759"/>
    </row>
    <row r="828" spans="1:10" x14ac:dyDescent="0.2">
      <c r="A828" s="944">
        <v>39037570101</v>
      </c>
      <c r="B828" s="239" t="s">
        <v>846</v>
      </c>
      <c r="C828" s="286" t="s">
        <v>2975</v>
      </c>
      <c r="D828" s="865" t="s">
        <v>2975</v>
      </c>
      <c r="E828" s="287" t="s">
        <v>3563</v>
      </c>
      <c r="F828" s="287" t="s">
        <v>3559</v>
      </c>
      <c r="G828" s="288" t="s">
        <v>3568</v>
      </c>
      <c r="H828" s="287">
        <v>45122</v>
      </c>
      <c r="I828" s="287" t="s">
        <v>2975</v>
      </c>
      <c r="J828" s="759"/>
    </row>
    <row r="829" spans="1:10" x14ac:dyDescent="0.2">
      <c r="A829" s="944">
        <v>39037570102</v>
      </c>
      <c r="B829" s="239" t="s">
        <v>847</v>
      </c>
      <c r="C829" s="286" t="s">
        <v>2975</v>
      </c>
      <c r="D829" s="865" t="s">
        <v>2975</v>
      </c>
      <c r="E829" s="287" t="s">
        <v>3563</v>
      </c>
      <c r="F829" s="287" t="s">
        <v>5177</v>
      </c>
      <c r="G829" s="288" t="s">
        <v>3568</v>
      </c>
      <c r="H829" s="287">
        <v>45123</v>
      </c>
      <c r="I829" s="287" t="s">
        <v>2975</v>
      </c>
      <c r="J829" s="759"/>
    </row>
    <row r="830" spans="1:10" x14ac:dyDescent="0.2">
      <c r="A830" s="944">
        <v>39039958100</v>
      </c>
      <c r="B830" s="239" t="s">
        <v>848</v>
      </c>
      <c r="C830" s="286" t="s">
        <v>2975</v>
      </c>
      <c r="D830" s="865" t="s">
        <v>2975</v>
      </c>
      <c r="E830" s="287" t="s">
        <v>3563</v>
      </c>
      <c r="F830" s="287" t="s">
        <v>3558</v>
      </c>
      <c r="G830" s="288" t="s">
        <v>3568</v>
      </c>
      <c r="H830" s="287">
        <v>45130</v>
      </c>
      <c r="I830" s="287" t="s">
        <v>2975</v>
      </c>
      <c r="J830" s="759"/>
    </row>
    <row r="831" spans="1:10" x14ac:dyDescent="0.2">
      <c r="A831" s="944">
        <v>39039958200</v>
      </c>
      <c r="B831" s="239" t="s">
        <v>849</v>
      </c>
      <c r="C831" s="286" t="s">
        <v>2975</v>
      </c>
      <c r="D831" s="865" t="s">
        <v>2975</v>
      </c>
      <c r="E831" s="287" t="s">
        <v>3563</v>
      </c>
      <c r="F831" s="287" t="s">
        <v>5177</v>
      </c>
      <c r="G831" s="288" t="s">
        <v>3568</v>
      </c>
      <c r="H831" s="287">
        <v>45131</v>
      </c>
      <c r="I831" s="287" t="s">
        <v>2975</v>
      </c>
      <c r="J831" s="759"/>
    </row>
    <row r="832" spans="1:10" x14ac:dyDescent="0.2">
      <c r="A832" s="944">
        <v>39039958300</v>
      </c>
      <c r="B832" s="239" t="s">
        <v>850</v>
      </c>
      <c r="C832" s="286" t="s">
        <v>2975</v>
      </c>
      <c r="D832" s="865" t="s">
        <v>2975</v>
      </c>
      <c r="E832" s="287" t="s">
        <v>3562</v>
      </c>
      <c r="F832" s="287" t="s">
        <v>5177</v>
      </c>
      <c r="G832" s="288" t="s">
        <v>3568</v>
      </c>
      <c r="H832" s="287">
        <v>45132</v>
      </c>
      <c r="I832" s="287" t="s">
        <v>2975</v>
      </c>
      <c r="J832" s="759"/>
    </row>
    <row r="833" spans="1:10" x14ac:dyDescent="0.2">
      <c r="A833" s="944">
        <v>39039958400</v>
      </c>
      <c r="B833" s="239" t="s">
        <v>851</v>
      </c>
      <c r="C833" s="286" t="s">
        <v>2975</v>
      </c>
      <c r="D833" s="865" t="s">
        <v>2975</v>
      </c>
      <c r="E833" s="287" t="s">
        <v>3566</v>
      </c>
      <c r="F833" s="287" t="s">
        <v>3559</v>
      </c>
      <c r="G833" s="288" t="s">
        <v>3568</v>
      </c>
      <c r="H833" s="287">
        <v>45133</v>
      </c>
      <c r="I833" s="287" t="s">
        <v>2975</v>
      </c>
      <c r="J833" s="759"/>
    </row>
    <row r="834" spans="1:10" x14ac:dyDescent="0.2">
      <c r="A834" s="944">
        <v>39039958500</v>
      </c>
      <c r="B834" s="239" t="s">
        <v>852</v>
      </c>
      <c r="C834" s="286" t="s">
        <v>2975</v>
      </c>
      <c r="D834" s="865" t="s">
        <v>2975</v>
      </c>
      <c r="E834" s="287" t="s">
        <v>3563</v>
      </c>
      <c r="F834" s="287" t="s">
        <v>5176</v>
      </c>
      <c r="G834" s="288" t="s">
        <v>3568</v>
      </c>
      <c r="H834" s="287">
        <v>45135</v>
      </c>
      <c r="I834" s="287" t="s">
        <v>2975</v>
      </c>
      <c r="J834" s="759"/>
    </row>
    <row r="835" spans="1:10" x14ac:dyDescent="0.2">
      <c r="A835" s="944">
        <v>39039958600</v>
      </c>
      <c r="B835" s="239" t="s">
        <v>853</v>
      </c>
      <c r="C835" s="286" t="s">
        <v>2975</v>
      </c>
      <c r="D835" s="865" t="s">
        <v>2975</v>
      </c>
      <c r="E835" s="287" t="s">
        <v>3566</v>
      </c>
      <c r="F835" s="287" t="s">
        <v>3558</v>
      </c>
      <c r="G835" s="288" t="s">
        <v>3568</v>
      </c>
      <c r="H835" s="287">
        <v>45140</v>
      </c>
      <c r="I835" s="287" t="s">
        <v>2975</v>
      </c>
      <c r="J835" s="759"/>
    </row>
    <row r="836" spans="1:10" x14ac:dyDescent="0.2">
      <c r="A836" s="944">
        <v>39039958700</v>
      </c>
      <c r="B836" s="239" t="s">
        <v>854</v>
      </c>
      <c r="C836" s="286" t="s">
        <v>2975</v>
      </c>
      <c r="D836" s="865" t="s">
        <v>2975</v>
      </c>
      <c r="E836" s="287" t="s">
        <v>3563</v>
      </c>
      <c r="F836" s="287" t="s">
        <v>3565</v>
      </c>
      <c r="G836" s="288" t="s">
        <v>5175</v>
      </c>
      <c r="H836" s="287">
        <v>45142</v>
      </c>
      <c r="I836" s="287" t="s">
        <v>2975</v>
      </c>
      <c r="J836" s="759"/>
    </row>
    <row r="837" spans="1:10" x14ac:dyDescent="0.2">
      <c r="A837" s="944">
        <v>39039958800</v>
      </c>
      <c r="B837" s="239" t="s">
        <v>855</v>
      </c>
      <c r="C837" s="286" t="s">
        <v>2975</v>
      </c>
      <c r="D837" s="865" t="s">
        <v>4330</v>
      </c>
      <c r="E837" s="287" t="s">
        <v>3564</v>
      </c>
      <c r="F837" s="287" t="s">
        <v>3559</v>
      </c>
      <c r="G837" s="288" t="s">
        <v>3568</v>
      </c>
      <c r="H837" s="287">
        <v>45144</v>
      </c>
      <c r="I837" s="287" t="s">
        <v>2975</v>
      </c>
      <c r="J837" s="759"/>
    </row>
    <row r="838" spans="1:10" x14ac:dyDescent="0.2">
      <c r="A838" s="944">
        <v>39039958900</v>
      </c>
      <c r="B838" s="239" t="s">
        <v>856</v>
      </c>
      <c r="C838" s="286" t="s">
        <v>2975</v>
      </c>
      <c r="D838" s="865" t="s">
        <v>2975</v>
      </c>
      <c r="E838" s="287" t="s">
        <v>3563</v>
      </c>
      <c r="F838" s="287" t="s">
        <v>3558</v>
      </c>
      <c r="G838" s="288" t="s">
        <v>3568</v>
      </c>
      <c r="H838" s="287">
        <v>45145</v>
      </c>
      <c r="I838" s="287" t="s">
        <v>2975</v>
      </c>
      <c r="J838" s="759"/>
    </row>
    <row r="839" spans="1:10" x14ac:dyDescent="0.2">
      <c r="A839" s="944">
        <v>39041010100</v>
      </c>
      <c r="B839" s="239" t="s">
        <v>857</v>
      </c>
      <c r="C839" s="286" t="s">
        <v>2975</v>
      </c>
      <c r="D839" s="865" t="s">
        <v>2975</v>
      </c>
      <c r="E839" s="287" t="s">
        <v>3563</v>
      </c>
      <c r="F839" s="287" t="s">
        <v>5177</v>
      </c>
      <c r="G839" s="288" t="s">
        <v>3569</v>
      </c>
      <c r="H839" s="287">
        <v>45146</v>
      </c>
      <c r="I839" s="287" t="s">
        <v>2975</v>
      </c>
      <c r="J839" s="759"/>
    </row>
    <row r="840" spans="1:10" x14ac:dyDescent="0.2">
      <c r="A840" s="944">
        <v>39041010200</v>
      </c>
      <c r="B840" s="239" t="s">
        <v>858</v>
      </c>
      <c r="C840" s="286" t="s">
        <v>2975</v>
      </c>
      <c r="D840" s="865" t="s">
        <v>2975</v>
      </c>
      <c r="E840" s="287" t="s">
        <v>3564</v>
      </c>
      <c r="F840" s="287" t="s">
        <v>3565</v>
      </c>
      <c r="G840" s="288" t="s">
        <v>3569</v>
      </c>
      <c r="H840" s="287">
        <v>45147</v>
      </c>
      <c r="I840" s="287" t="s">
        <v>2975</v>
      </c>
      <c r="J840" s="759"/>
    </row>
    <row r="841" spans="1:10" x14ac:dyDescent="0.2">
      <c r="A841" s="944">
        <v>39041010420</v>
      </c>
      <c r="B841" s="239" t="s">
        <v>859</v>
      </c>
      <c r="C841" s="286" t="s">
        <v>2975</v>
      </c>
      <c r="D841" s="865" t="s">
        <v>2975</v>
      </c>
      <c r="E841" s="287" t="s">
        <v>3563</v>
      </c>
      <c r="F841" s="287" t="s">
        <v>5177</v>
      </c>
      <c r="G841" s="288" t="s">
        <v>3569</v>
      </c>
      <c r="H841" s="287">
        <v>45148</v>
      </c>
      <c r="I841" s="287" t="s">
        <v>2975</v>
      </c>
      <c r="J841" s="759"/>
    </row>
    <row r="842" spans="1:10" x14ac:dyDescent="0.2">
      <c r="A842" s="944">
        <v>39041010421</v>
      </c>
      <c r="B842" s="239" t="s">
        <v>860</v>
      </c>
      <c r="C842" s="286" t="s">
        <v>2975</v>
      </c>
      <c r="D842" s="865" t="s">
        <v>2975</v>
      </c>
      <c r="E842" s="287" t="s">
        <v>3563</v>
      </c>
      <c r="F842" s="287" t="s">
        <v>5177</v>
      </c>
      <c r="G842" s="288" t="s">
        <v>3569</v>
      </c>
      <c r="H842" s="287">
        <v>45150</v>
      </c>
      <c r="I842" s="287" t="s">
        <v>2975</v>
      </c>
      <c r="J842" s="759"/>
    </row>
    <row r="843" spans="1:10" x14ac:dyDescent="0.2">
      <c r="A843" s="944">
        <v>39041010422</v>
      </c>
      <c r="B843" s="239" t="s">
        <v>861</v>
      </c>
      <c r="C843" s="286" t="s">
        <v>2975</v>
      </c>
      <c r="D843" s="865" t="s">
        <v>2975</v>
      </c>
      <c r="E843" s="287" t="s">
        <v>3566</v>
      </c>
      <c r="F843" s="287" t="s">
        <v>3558</v>
      </c>
      <c r="G843" s="288" t="s">
        <v>3569</v>
      </c>
      <c r="H843" s="287">
        <v>45152</v>
      </c>
      <c r="I843" s="287" t="s">
        <v>2975</v>
      </c>
      <c r="J843" s="759"/>
    </row>
    <row r="844" spans="1:10" x14ac:dyDescent="0.2">
      <c r="A844" s="944">
        <v>39041010520</v>
      </c>
      <c r="B844" s="239" t="s">
        <v>862</v>
      </c>
      <c r="C844" s="286" t="s">
        <v>2975</v>
      </c>
      <c r="D844" s="865" t="s">
        <v>2975</v>
      </c>
      <c r="E844" s="287" t="s">
        <v>3566</v>
      </c>
      <c r="F844" s="287" t="s">
        <v>3558</v>
      </c>
      <c r="G844" s="288" t="s">
        <v>3569</v>
      </c>
      <c r="H844" s="287">
        <v>45153</v>
      </c>
      <c r="I844" s="287" t="s">
        <v>2975</v>
      </c>
      <c r="J844" s="759"/>
    </row>
    <row r="845" spans="1:10" x14ac:dyDescent="0.2">
      <c r="A845" s="944">
        <v>39041010530</v>
      </c>
      <c r="B845" s="239" t="s">
        <v>863</v>
      </c>
      <c r="C845" s="286" t="s">
        <v>4330</v>
      </c>
      <c r="D845" s="865" t="s">
        <v>4330</v>
      </c>
      <c r="E845" s="287" t="s">
        <v>3564</v>
      </c>
      <c r="F845" s="287" t="s">
        <v>3558</v>
      </c>
      <c r="G845" s="288" t="s">
        <v>3569</v>
      </c>
      <c r="H845" s="287">
        <v>45154</v>
      </c>
      <c r="I845" s="287" t="s">
        <v>2975</v>
      </c>
      <c r="J845" s="759"/>
    </row>
    <row r="846" spans="1:10" x14ac:dyDescent="0.2">
      <c r="A846" s="944">
        <v>39041011101</v>
      </c>
      <c r="B846" s="239" t="s">
        <v>864</v>
      </c>
      <c r="C846" s="286" t="s">
        <v>2975</v>
      </c>
      <c r="D846" s="865" t="s">
        <v>2975</v>
      </c>
      <c r="E846" s="287" t="s">
        <v>3566</v>
      </c>
      <c r="F846" s="287" t="s">
        <v>3565</v>
      </c>
      <c r="G846" s="288" t="s">
        <v>3568</v>
      </c>
      <c r="H846" s="287">
        <v>45155</v>
      </c>
      <c r="I846" s="287" t="s">
        <v>2975</v>
      </c>
      <c r="J846" s="759"/>
    </row>
    <row r="847" spans="1:10" x14ac:dyDescent="0.2">
      <c r="A847" s="944">
        <v>39041011102</v>
      </c>
      <c r="B847" s="239" t="s">
        <v>865</v>
      </c>
      <c r="C847" s="286" t="s">
        <v>2975</v>
      </c>
      <c r="D847" s="865" t="s">
        <v>2975</v>
      </c>
      <c r="E847" s="287" t="s">
        <v>3562</v>
      </c>
      <c r="F847" s="287" t="s">
        <v>5177</v>
      </c>
      <c r="G847" s="288" t="s">
        <v>3568</v>
      </c>
      <c r="H847" s="287">
        <v>45156</v>
      </c>
      <c r="I847" s="287" t="s">
        <v>2975</v>
      </c>
      <c r="J847" s="759"/>
    </row>
    <row r="848" spans="1:10" x14ac:dyDescent="0.2">
      <c r="A848" s="944">
        <v>39041011200</v>
      </c>
      <c r="B848" s="239" t="s">
        <v>866</v>
      </c>
      <c r="C848" s="286" t="s">
        <v>2975</v>
      </c>
      <c r="D848" s="865" t="s">
        <v>2975</v>
      </c>
      <c r="E848" s="287" t="s">
        <v>3562</v>
      </c>
      <c r="F848" s="287" t="s">
        <v>3558</v>
      </c>
      <c r="G848" s="288" t="s">
        <v>3568</v>
      </c>
      <c r="H848" s="287">
        <v>45157</v>
      </c>
      <c r="I848" s="287" t="s">
        <v>2975</v>
      </c>
      <c r="J848" s="759"/>
    </row>
    <row r="849" spans="1:10" x14ac:dyDescent="0.2">
      <c r="A849" s="944">
        <v>39041011411</v>
      </c>
      <c r="B849" s="239" t="s">
        <v>867</v>
      </c>
      <c r="C849" s="286" t="s">
        <v>2975</v>
      </c>
      <c r="D849" s="865" t="s">
        <v>2975</v>
      </c>
      <c r="E849" s="287" t="s">
        <v>3562</v>
      </c>
      <c r="F849" s="287" t="s">
        <v>3558</v>
      </c>
      <c r="G849" s="288" t="s">
        <v>3569</v>
      </c>
      <c r="H849" s="287">
        <v>45158</v>
      </c>
      <c r="I849" s="287" t="s">
        <v>2975</v>
      </c>
      <c r="J849" s="759"/>
    </row>
    <row r="850" spans="1:10" x14ac:dyDescent="0.2">
      <c r="A850" s="944">
        <v>39041011412</v>
      </c>
      <c r="B850" s="239" t="s">
        <v>868</v>
      </c>
      <c r="C850" s="286" t="s">
        <v>2975</v>
      </c>
      <c r="D850" s="865" t="s">
        <v>2975</v>
      </c>
      <c r="E850" s="287" t="s">
        <v>3562</v>
      </c>
      <c r="F850" s="287" t="s">
        <v>3565</v>
      </c>
      <c r="G850" s="288" t="s">
        <v>3569</v>
      </c>
      <c r="H850" s="287">
        <v>45159</v>
      </c>
      <c r="I850" s="287" t="s">
        <v>2975</v>
      </c>
      <c r="J850" s="759"/>
    </row>
    <row r="851" spans="1:10" x14ac:dyDescent="0.2">
      <c r="A851" s="944">
        <v>39041011413</v>
      </c>
      <c r="B851" s="239" t="s">
        <v>869</v>
      </c>
      <c r="C851" s="286" t="s">
        <v>2975</v>
      </c>
      <c r="D851" s="865" t="s">
        <v>2975</v>
      </c>
      <c r="E851" s="287" t="s">
        <v>3562</v>
      </c>
      <c r="F851" s="287" t="s">
        <v>3559</v>
      </c>
      <c r="G851" s="288" t="s">
        <v>3568</v>
      </c>
      <c r="H851" s="287">
        <v>45160</v>
      </c>
      <c r="I851" s="287" t="s">
        <v>2975</v>
      </c>
      <c r="J851" s="759"/>
    </row>
    <row r="852" spans="1:10" x14ac:dyDescent="0.2">
      <c r="A852" s="944">
        <v>39041011421</v>
      </c>
      <c r="B852" s="239" t="s">
        <v>870</v>
      </c>
      <c r="C852" s="286" t="s">
        <v>2975</v>
      </c>
      <c r="D852" s="865" t="s">
        <v>2975</v>
      </c>
      <c r="E852" s="287" t="s">
        <v>3562</v>
      </c>
      <c r="F852" s="287" t="s">
        <v>3558</v>
      </c>
      <c r="G852" s="288" t="s">
        <v>3569</v>
      </c>
      <c r="H852" s="287">
        <v>45162</v>
      </c>
      <c r="I852" s="287" t="s">
        <v>2975</v>
      </c>
      <c r="J852" s="759"/>
    </row>
    <row r="853" spans="1:10" x14ac:dyDescent="0.2">
      <c r="A853" s="944">
        <v>39041011423</v>
      </c>
      <c r="B853" s="239" t="s">
        <v>871</v>
      </c>
      <c r="C853" s="286" t="s">
        <v>2975</v>
      </c>
      <c r="D853" s="865" t="s">
        <v>2975</v>
      </c>
      <c r="E853" s="287" t="s">
        <v>3562</v>
      </c>
      <c r="F853" s="287" t="s">
        <v>3559</v>
      </c>
      <c r="G853" s="288" t="s">
        <v>3569</v>
      </c>
      <c r="H853" s="287">
        <v>45164</v>
      </c>
      <c r="I853" s="287" t="s">
        <v>2975</v>
      </c>
      <c r="J853" s="759"/>
    </row>
    <row r="854" spans="1:10" x14ac:dyDescent="0.2">
      <c r="A854" s="944">
        <v>39041011430</v>
      </c>
      <c r="B854" s="239" t="s">
        <v>872</v>
      </c>
      <c r="C854" s="286" t="s">
        <v>2975</v>
      </c>
      <c r="D854" s="865" t="s">
        <v>2975</v>
      </c>
      <c r="E854" s="287" t="s">
        <v>3562</v>
      </c>
      <c r="F854" s="287" t="s">
        <v>5177</v>
      </c>
      <c r="G854" s="288" t="s">
        <v>3569</v>
      </c>
      <c r="H854" s="287">
        <v>45166</v>
      </c>
      <c r="I854" s="287" t="s">
        <v>2975</v>
      </c>
      <c r="J854" s="759"/>
    </row>
    <row r="855" spans="1:10" x14ac:dyDescent="0.2">
      <c r="A855" s="944">
        <v>39041011520</v>
      </c>
      <c r="B855" s="239" t="s">
        <v>873</v>
      </c>
      <c r="C855" s="286" t="s">
        <v>2975</v>
      </c>
      <c r="D855" s="865" t="s">
        <v>2975</v>
      </c>
      <c r="E855" s="287" t="s">
        <v>3562</v>
      </c>
      <c r="F855" s="287" t="s">
        <v>3559</v>
      </c>
      <c r="G855" s="288" t="s">
        <v>3569</v>
      </c>
      <c r="H855" s="287">
        <v>45167</v>
      </c>
      <c r="I855" s="287" t="s">
        <v>2975</v>
      </c>
      <c r="J855" s="759"/>
    </row>
    <row r="856" spans="1:10" x14ac:dyDescent="0.2">
      <c r="A856" s="944">
        <v>39041011530</v>
      </c>
      <c r="B856" s="239" t="s">
        <v>874</v>
      </c>
      <c r="C856" s="286" t="s">
        <v>2975</v>
      </c>
      <c r="D856" s="865" t="s">
        <v>2975</v>
      </c>
      <c r="E856" s="287" t="s">
        <v>3562</v>
      </c>
      <c r="F856" s="287" t="s">
        <v>5177</v>
      </c>
      <c r="G856" s="288" t="s">
        <v>3569</v>
      </c>
      <c r="H856" s="287">
        <v>45168</v>
      </c>
      <c r="I856" s="287" t="s">
        <v>2975</v>
      </c>
      <c r="J856" s="759"/>
    </row>
    <row r="857" spans="1:10" x14ac:dyDescent="0.2">
      <c r="A857" s="944">
        <v>39041011540</v>
      </c>
      <c r="B857" s="239" t="s">
        <v>875</v>
      </c>
      <c r="C857" s="286" t="s">
        <v>2975</v>
      </c>
      <c r="D857" s="865" t="s">
        <v>2975</v>
      </c>
      <c r="E857" s="287" t="s">
        <v>3562</v>
      </c>
      <c r="F857" s="287" t="s">
        <v>3558</v>
      </c>
      <c r="G857" s="288" t="s">
        <v>3569</v>
      </c>
      <c r="H857" s="287">
        <v>45169</v>
      </c>
      <c r="I857" s="287" t="s">
        <v>2975</v>
      </c>
      <c r="J857" s="759"/>
    </row>
    <row r="858" spans="1:10" x14ac:dyDescent="0.2">
      <c r="A858" s="944">
        <v>39041011550</v>
      </c>
      <c r="B858" s="239" t="s">
        <v>876</v>
      </c>
      <c r="C858" s="286" t="s">
        <v>2975</v>
      </c>
      <c r="D858" s="865" t="s">
        <v>2975</v>
      </c>
      <c r="E858" s="287" t="s">
        <v>3562</v>
      </c>
      <c r="F858" s="287" t="s">
        <v>5177</v>
      </c>
      <c r="G858" s="288" t="s">
        <v>3569</v>
      </c>
      <c r="H858" s="287">
        <v>45171</v>
      </c>
      <c r="I858" s="287" t="s">
        <v>2975</v>
      </c>
      <c r="J858" s="759"/>
    </row>
    <row r="859" spans="1:10" x14ac:dyDescent="0.2">
      <c r="A859" s="944">
        <v>39041011560</v>
      </c>
      <c r="B859" s="239" t="s">
        <v>877</v>
      </c>
      <c r="C859" s="286" t="s">
        <v>2975</v>
      </c>
      <c r="D859" s="865" t="s">
        <v>2975</v>
      </c>
      <c r="E859" s="287" t="s">
        <v>3562</v>
      </c>
      <c r="F859" s="287" t="s">
        <v>3558</v>
      </c>
      <c r="G859" s="288" t="s">
        <v>3568</v>
      </c>
      <c r="H859" s="287">
        <v>45172</v>
      </c>
      <c r="I859" s="287" t="s">
        <v>2975</v>
      </c>
      <c r="J859" s="759"/>
    </row>
    <row r="860" spans="1:10" x14ac:dyDescent="0.2">
      <c r="A860" s="944">
        <v>39041011561</v>
      </c>
      <c r="B860" s="239" t="s">
        <v>878</v>
      </c>
      <c r="C860" s="286" t="s">
        <v>2975</v>
      </c>
      <c r="D860" s="865" t="s">
        <v>2975</v>
      </c>
      <c r="E860" s="287" t="s">
        <v>3563</v>
      </c>
      <c r="F860" s="287" t="s">
        <v>3558</v>
      </c>
      <c r="G860" s="288" t="s">
        <v>3569</v>
      </c>
      <c r="H860" s="287">
        <v>45176</v>
      </c>
      <c r="I860" s="287" t="s">
        <v>2975</v>
      </c>
      <c r="J860" s="759"/>
    </row>
    <row r="861" spans="1:10" x14ac:dyDescent="0.2">
      <c r="A861" s="944">
        <v>39041011604</v>
      </c>
      <c r="B861" s="239" t="s">
        <v>879</v>
      </c>
      <c r="C861" s="286" t="s">
        <v>2975</v>
      </c>
      <c r="D861" s="865" t="s">
        <v>2975</v>
      </c>
      <c r="E861" s="287" t="s">
        <v>3562</v>
      </c>
      <c r="F861" s="287" t="s">
        <v>3559</v>
      </c>
      <c r="G861" s="288" t="s">
        <v>3568</v>
      </c>
      <c r="H861" s="287">
        <v>45177</v>
      </c>
      <c r="I861" s="287" t="s">
        <v>2975</v>
      </c>
      <c r="J861" s="759"/>
    </row>
    <row r="862" spans="1:10" x14ac:dyDescent="0.2">
      <c r="A862" s="944">
        <v>39041011710</v>
      </c>
      <c r="B862" s="239" t="s">
        <v>880</v>
      </c>
      <c r="C862" s="286" t="s">
        <v>2975</v>
      </c>
      <c r="D862" s="865" t="s">
        <v>2975</v>
      </c>
      <c r="E862" s="287" t="s">
        <v>3562</v>
      </c>
      <c r="F862" s="287" t="s">
        <v>5176</v>
      </c>
      <c r="G862" s="288" t="s">
        <v>3569</v>
      </c>
      <c r="H862" s="287">
        <v>45202</v>
      </c>
      <c r="I862" s="287" t="s">
        <v>2975</v>
      </c>
      <c r="J862" s="759"/>
    </row>
    <row r="863" spans="1:10" x14ac:dyDescent="0.2">
      <c r="A863" s="944">
        <v>39041011730</v>
      </c>
      <c r="B863" s="239" t="s">
        <v>881</v>
      </c>
      <c r="C863" s="286" t="s">
        <v>2975</v>
      </c>
      <c r="D863" s="865" t="s">
        <v>2975</v>
      </c>
      <c r="E863" s="287" t="s">
        <v>3562</v>
      </c>
      <c r="F863" s="287" t="s">
        <v>3565</v>
      </c>
      <c r="G863" s="288" t="s">
        <v>3569</v>
      </c>
      <c r="H863" s="287">
        <v>45203</v>
      </c>
      <c r="I863" s="287" t="s">
        <v>2975</v>
      </c>
      <c r="J863" s="759"/>
    </row>
    <row r="864" spans="1:10" x14ac:dyDescent="0.2">
      <c r="A864" s="944">
        <v>39041011740</v>
      </c>
      <c r="B864" s="239" t="s">
        <v>882</v>
      </c>
      <c r="C864" s="286" t="s">
        <v>2975</v>
      </c>
      <c r="D864" s="865" t="s">
        <v>2975</v>
      </c>
      <c r="E864" s="287" t="s">
        <v>3562</v>
      </c>
      <c r="F864" s="287" t="s">
        <v>3565</v>
      </c>
      <c r="G864" s="288" t="s">
        <v>3569</v>
      </c>
      <c r="H864" s="287">
        <v>45204</v>
      </c>
      <c r="I864" s="287" t="s">
        <v>2975</v>
      </c>
      <c r="J864" s="759"/>
    </row>
    <row r="865" spans="1:10" x14ac:dyDescent="0.2">
      <c r="A865" s="944">
        <v>39041011750</v>
      </c>
      <c r="B865" s="239" t="s">
        <v>883</v>
      </c>
      <c r="C865" s="286" t="s">
        <v>2975</v>
      </c>
      <c r="D865" s="865" t="s">
        <v>2975</v>
      </c>
      <c r="E865" s="287" t="s">
        <v>3562</v>
      </c>
      <c r="F865" s="287" t="s">
        <v>3558</v>
      </c>
      <c r="G865" s="288" t="s">
        <v>3568</v>
      </c>
      <c r="H865" s="287">
        <v>45205</v>
      </c>
      <c r="I865" s="287" t="s">
        <v>2975</v>
      </c>
      <c r="J865" s="759"/>
    </row>
    <row r="866" spans="1:10" x14ac:dyDescent="0.2">
      <c r="A866" s="944">
        <v>39041011760</v>
      </c>
      <c r="B866" s="239" t="s">
        <v>884</v>
      </c>
      <c r="C866" s="286" t="s">
        <v>2975</v>
      </c>
      <c r="D866" s="865" t="s">
        <v>2975</v>
      </c>
      <c r="E866" s="287" t="s">
        <v>3562</v>
      </c>
      <c r="F866" s="287" t="s">
        <v>5177</v>
      </c>
      <c r="G866" s="288" t="s">
        <v>3568</v>
      </c>
      <c r="H866" s="287">
        <v>45206</v>
      </c>
      <c r="I866" s="287" t="s">
        <v>2975</v>
      </c>
      <c r="J866" s="759"/>
    </row>
    <row r="867" spans="1:10" x14ac:dyDescent="0.2">
      <c r="A867" s="944">
        <v>39041011762</v>
      </c>
      <c r="B867" s="239" t="s">
        <v>885</v>
      </c>
      <c r="C867" s="286" t="s">
        <v>2975</v>
      </c>
      <c r="D867" s="865" t="s">
        <v>2975</v>
      </c>
      <c r="E867" s="287" t="s">
        <v>3562</v>
      </c>
      <c r="F867" s="287" t="s">
        <v>3558</v>
      </c>
      <c r="G867" s="288" t="s">
        <v>3569</v>
      </c>
      <c r="H867" s="287">
        <v>45207</v>
      </c>
      <c r="I867" s="287" t="s">
        <v>2975</v>
      </c>
      <c r="J867" s="759"/>
    </row>
    <row r="868" spans="1:10" x14ac:dyDescent="0.2">
      <c r="A868" s="944">
        <v>39041011900</v>
      </c>
      <c r="B868" s="239" t="s">
        <v>886</v>
      </c>
      <c r="C868" s="286" t="s">
        <v>2975</v>
      </c>
      <c r="D868" s="865" t="s">
        <v>2975</v>
      </c>
      <c r="E868" s="287" t="s">
        <v>3562</v>
      </c>
      <c r="F868" s="287" t="s">
        <v>5177</v>
      </c>
      <c r="G868" s="288" t="s">
        <v>3569</v>
      </c>
      <c r="H868" s="287">
        <v>45208</v>
      </c>
      <c r="I868" s="287" t="s">
        <v>2975</v>
      </c>
      <c r="J868" s="759"/>
    </row>
    <row r="869" spans="1:10" x14ac:dyDescent="0.2">
      <c r="A869" s="944">
        <v>39041012000</v>
      </c>
      <c r="B869" s="239" t="s">
        <v>887</v>
      </c>
      <c r="C869" s="286" t="s">
        <v>2975</v>
      </c>
      <c r="D869" s="865" t="s">
        <v>2975</v>
      </c>
      <c r="E869" s="287" t="s">
        <v>3562</v>
      </c>
      <c r="F869" s="287" t="s">
        <v>5177</v>
      </c>
      <c r="G869" s="288" t="s">
        <v>3568</v>
      </c>
      <c r="H869" s="287">
        <v>45209</v>
      </c>
      <c r="I869" s="287" t="s">
        <v>2975</v>
      </c>
      <c r="J869" s="759"/>
    </row>
    <row r="870" spans="1:10" x14ac:dyDescent="0.2">
      <c r="A870" s="944">
        <v>39041012100</v>
      </c>
      <c r="B870" s="239" t="s">
        <v>888</v>
      </c>
      <c r="C870" s="286" t="s">
        <v>2975</v>
      </c>
      <c r="D870" s="865" t="s">
        <v>2975</v>
      </c>
      <c r="E870" s="287" t="s">
        <v>3562</v>
      </c>
      <c r="F870" s="287" t="s">
        <v>3558</v>
      </c>
      <c r="G870" s="288" t="s">
        <v>3568</v>
      </c>
      <c r="H870" s="287">
        <v>45211</v>
      </c>
      <c r="I870" s="287" t="s">
        <v>2975</v>
      </c>
      <c r="J870" s="759"/>
    </row>
    <row r="871" spans="1:10" x14ac:dyDescent="0.2">
      <c r="A871" s="944">
        <v>39041012200</v>
      </c>
      <c r="B871" s="239" t="s">
        <v>889</v>
      </c>
      <c r="C871" s="286" t="s">
        <v>2975</v>
      </c>
      <c r="D871" s="865" t="s">
        <v>2975</v>
      </c>
      <c r="E871" s="287" t="s">
        <v>3562</v>
      </c>
      <c r="F871" s="287" t="s">
        <v>3565</v>
      </c>
      <c r="G871" s="288" t="s">
        <v>3568</v>
      </c>
      <c r="H871" s="287">
        <v>45212</v>
      </c>
      <c r="I871" s="287" t="s">
        <v>2975</v>
      </c>
      <c r="J871" s="759"/>
    </row>
    <row r="872" spans="1:10" x14ac:dyDescent="0.2">
      <c r="A872" s="944">
        <v>39041012300</v>
      </c>
      <c r="B872" s="239" t="s">
        <v>890</v>
      </c>
      <c r="C872" s="286" t="s">
        <v>2975</v>
      </c>
      <c r="D872" s="865" t="s">
        <v>2975</v>
      </c>
      <c r="E872" s="287" t="s">
        <v>3562</v>
      </c>
      <c r="F872" s="287" t="s">
        <v>3565</v>
      </c>
      <c r="G872" s="288" t="s">
        <v>3568</v>
      </c>
      <c r="H872" s="287">
        <v>45213</v>
      </c>
      <c r="I872" s="287" t="s">
        <v>2975</v>
      </c>
      <c r="J872" s="759"/>
    </row>
    <row r="873" spans="1:10" x14ac:dyDescent="0.2">
      <c r="A873" s="944">
        <v>39041012400</v>
      </c>
      <c r="B873" s="239" t="s">
        <v>891</v>
      </c>
      <c r="C873" s="286" t="s">
        <v>2975</v>
      </c>
      <c r="D873" s="865" t="s">
        <v>2975</v>
      </c>
      <c r="E873" s="287" t="s">
        <v>3562</v>
      </c>
      <c r="F873" s="287" t="s">
        <v>3565</v>
      </c>
      <c r="G873" s="288" t="s">
        <v>3569</v>
      </c>
      <c r="H873" s="287">
        <v>45214</v>
      </c>
      <c r="I873" s="287" t="s">
        <v>2975</v>
      </c>
      <c r="J873" s="759"/>
    </row>
    <row r="874" spans="1:10" x14ac:dyDescent="0.2">
      <c r="A874" s="944">
        <v>39043040100</v>
      </c>
      <c r="B874" s="239" t="s">
        <v>892</v>
      </c>
      <c r="C874" s="286" t="s">
        <v>2975</v>
      </c>
      <c r="D874" s="865" t="s">
        <v>2975</v>
      </c>
      <c r="E874" s="287" t="s">
        <v>3564</v>
      </c>
      <c r="F874" s="287" t="s">
        <v>5177</v>
      </c>
      <c r="G874" s="288" t="s">
        <v>3569</v>
      </c>
      <c r="H874" s="287">
        <v>45215</v>
      </c>
      <c r="I874" s="287" t="s">
        <v>2975</v>
      </c>
      <c r="J874" s="759"/>
    </row>
    <row r="875" spans="1:10" x14ac:dyDescent="0.2">
      <c r="A875" s="944">
        <v>39043040200</v>
      </c>
      <c r="B875" s="239" t="s">
        <v>893</v>
      </c>
      <c r="C875" s="286" t="s">
        <v>2975</v>
      </c>
      <c r="D875" s="865" t="s">
        <v>2975</v>
      </c>
      <c r="E875" s="287" t="s">
        <v>3563</v>
      </c>
      <c r="F875" s="287" t="s">
        <v>3559</v>
      </c>
      <c r="G875" s="288" t="s">
        <v>3568</v>
      </c>
      <c r="H875" s="287">
        <v>45216</v>
      </c>
      <c r="I875" s="287" t="s">
        <v>2975</v>
      </c>
      <c r="J875" s="759"/>
    </row>
    <row r="876" spans="1:10" x14ac:dyDescent="0.2">
      <c r="A876" s="944">
        <v>39043040300</v>
      </c>
      <c r="B876" s="239" t="s">
        <v>894</v>
      </c>
      <c r="C876" s="286" t="s">
        <v>2975</v>
      </c>
      <c r="D876" s="865" t="s">
        <v>2975</v>
      </c>
      <c r="E876" s="287" t="s">
        <v>3563</v>
      </c>
      <c r="F876" s="287" t="s">
        <v>5176</v>
      </c>
      <c r="G876" s="288" t="s">
        <v>3568</v>
      </c>
      <c r="H876" s="287">
        <v>45217</v>
      </c>
      <c r="I876" s="287" t="s">
        <v>2975</v>
      </c>
      <c r="J876" s="759"/>
    </row>
    <row r="877" spans="1:10" x14ac:dyDescent="0.2">
      <c r="A877" s="944">
        <v>39043040400</v>
      </c>
      <c r="B877" s="239" t="s">
        <v>895</v>
      </c>
      <c r="C877" s="286" t="s">
        <v>2975</v>
      </c>
      <c r="D877" s="865" t="s">
        <v>2975</v>
      </c>
      <c r="E877" s="287" t="s">
        <v>3562</v>
      </c>
      <c r="F877" s="287" t="s">
        <v>5176</v>
      </c>
      <c r="G877" s="288" t="s">
        <v>3568</v>
      </c>
      <c r="H877" s="287">
        <v>45218</v>
      </c>
      <c r="I877" s="287" t="s">
        <v>2975</v>
      </c>
      <c r="J877" s="759"/>
    </row>
    <row r="878" spans="1:10" x14ac:dyDescent="0.2">
      <c r="A878" s="944">
        <v>39043040500</v>
      </c>
      <c r="B878" s="239" t="s">
        <v>896</v>
      </c>
      <c r="C878" s="286" t="s">
        <v>2975</v>
      </c>
      <c r="D878" s="865" t="s">
        <v>2975</v>
      </c>
      <c r="E878" s="287" t="s">
        <v>3563</v>
      </c>
      <c r="F878" s="287" t="s">
        <v>3559</v>
      </c>
      <c r="G878" s="288" t="s">
        <v>3568</v>
      </c>
      <c r="H878" s="287">
        <v>45219</v>
      </c>
      <c r="I878" s="287" t="s">
        <v>2975</v>
      </c>
      <c r="J878" s="759"/>
    </row>
    <row r="879" spans="1:10" x14ac:dyDescent="0.2">
      <c r="A879" s="944">
        <v>39043040600</v>
      </c>
      <c r="B879" s="239" t="s">
        <v>897</v>
      </c>
      <c r="C879" s="286" t="s">
        <v>2975</v>
      </c>
      <c r="D879" s="865" t="s">
        <v>2975</v>
      </c>
      <c r="E879" s="287" t="s">
        <v>3562</v>
      </c>
      <c r="F879" s="287" t="s">
        <v>5176</v>
      </c>
      <c r="G879" s="288" t="s">
        <v>3568</v>
      </c>
      <c r="H879" s="287">
        <v>45220</v>
      </c>
      <c r="I879" s="287" t="s">
        <v>2975</v>
      </c>
      <c r="J879" s="759"/>
    </row>
    <row r="880" spans="1:10" x14ac:dyDescent="0.2">
      <c r="A880" s="944">
        <v>39043040700</v>
      </c>
      <c r="B880" s="239" t="s">
        <v>898</v>
      </c>
      <c r="C880" s="286" t="s">
        <v>2975</v>
      </c>
      <c r="D880" s="865" t="s">
        <v>2975</v>
      </c>
      <c r="E880" s="287" t="s">
        <v>3564</v>
      </c>
      <c r="F880" s="287" t="s">
        <v>3559</v>
      </c>
      <c r="G880" s="288" t="s">
        <v>5175</v>
      </c>
      <c r="H880" s="287">
        <v>45223</v>
      </c>
      <c r="I880" s="287" t="s">
        <v>2975</v>
      </c>
      <c r="J880" s="759"/>
    </row>
    <row r="881" spans="1:10" x14ac:dyDescent="0.2">
      <c r="A881" s="944">
        <v>39043040800</v>
      </c>
      <c r="B881" s="239" t="s">
        <v>899</v>
      </c>
      <c r="C881" s="286" t="s">
        <v>4330</v>
      </c>
      <c r="D881" s="865" t="s">
        <v>4330</v>
      </c>
      <c r="E881" s="287" t="s">
        <v>3557</v>
      </c>
      <c r="F881" s="287" t="s">
        <v>3558</v>
      </c>
      <c r="G881" s="288" t="s">
        <v>5175</v>
      </c>
      <c r="H881" s="287">
        <v>45224</v>
      </c>
      <c r="I881" s="287" t="s">
        <v>2975</v>
      </c>
      <c r="J881" s="759"/>
    </row>
    <row r="882" spans="1:10" x14ac:dyDescent="0.2">
      <c r="A882" s="944">
        <v>39043040900</v>
      </c>
      <c r="B882" s="239" t="s">
        <v>900</v>
      </c>
      <c r="C882" s="286" t="s">
        <v>2975</v>
      </c>
      <c r="D882" s="865" t="s">
        <v>2975</v>
      </c>
      <c r="E882" s="287" t="s">
        <v>3566</v>
      </c>
      <c r="F882" s="287" t="s">
        <v>3558</v>
      </c>
      <c r="G882" s="288" t="s">
        <v>3568</v>
      </c>
      <c r="H882" s="287">
        <v>45225</v>
      </c>
      <c r="I882" s="287" t="s">
        <v>2975</v>
      </c>
      <c r="J882" s="759"/>
    </row>
    <row r="883" spans="1:10" x14ac:dyDescent="0.2">
      <c r="A883" s="944">
        <v>39043041000</v>
      </c>
      <c r="B883" s="239" t="s">
        <v>901</v>
      </c>
      <c r="C883" s="286" t="s">
        <v>4330</v>
      </c>
      <c r="D883" s="865" t="s">
        <v>4330</v>
      </c>
      <c r="E883" s="287" t="s">
        <v>3557</v>
      </c>
      <c r="F883" s="287" t="s">
        <v>5176</v>
      </c>
      <c r="G883" s="288" t="s">
        <v>5175</v>
      </c>
      <c r="H883" s="287">
        <v>45226</v>
      </c>
      <c r="I883" s="287" t="s">
        <v>2975</v>
      </c>
      <c r="J883" s="759"/>
    </row>
    <row r="884" spans="1:10" x14ac:dyDescent="0.2">
      <c r="A884" s="944">
        <v>39043041100</v>
      </c>
      <c r="B884" s="239" t="s">
        <v>902</v>
      </c>
      <c r="C884" s="286" t="s">
        <v>4330</v>
      </c>
      <c r="D884" s="865" t="s">
        <v>4330</v>
      </c>
      <c r="E884" s="287" t="s">
        <v>3564</v>
      </c>
      <c r="F884" s="287" t="s">
        <v>3559</v>
      </c>
      <c r="G884" s="288" t="s">
        <v>5175</v>
      </c>
      <c r="H884" s="287">
        <v>45227</v>
      </c>
      <c r="I884" s="287" t="s">
        <v>2975</v>
      </c>
      <c r="J884" s="759"/>
    </row>
    <row r="885" spans="1:10" x14ac:dyDescent="0.2">
      <c r="A885" s="944">
        <v>39043041200</v>
      </c>
      <c r="B885" s="239" t="s">
        <v>903</v>
      </c>
      <c r="C885" s="286" t="s">
        <v>2975</v>
      </c>
      <c r="D885" s="865" t="s">
        <v>2975</v>
      </c>
      <c r="E885" s="287" t="s">
        <v>3557</v>
      </c>
      <c r="F885" s="287" t="s">
        <v>3558</v>
      </c>
      <c r="G885" s="288" t="s">
        <v>5175</v>
      </c>
      <c r="H885" s="287">
        <v>45229</v>
      </c>
      <c r="I885" s="287" t="s">
        <v>2975</v>
      </c>
      <c r="J885" s="759"/>
    </row>
    <row r="886" spans="1:10" x14ac:dyDescent="0.2">
      <c r="A886" s="944">
        <v>39043041300</v>
      </c>
      <c r="B886" s="239" t="s">
        <v>904</v>
      </c>
      <c r="C886" s="286" t="s">
        <v>4330</v>
      </c>
      <c r="D886" s="865" t="s">
        <v>4330</v>
      </c>
      <c r="E886" s="287" t="s">
        <v>3564</v>
      </c>
      <c r="F886" s="287" t="s">
        <v>5176</v>
      </c>
      <c r="G886" s="288" t="s">
        <v>5175</v>
      </c>
      <c r="H886" s="287">
        <v>45230</v>
      </c>
      <c r="I886" s="287" t="s">
        <v>2975</v>
      </c>
      <c r="J886" s="759"/>
    </row>
    <row r="887" spans="1:10" x14ac:dyDescent="0.2">
      <c r="A887" s="944">
        <v>39043041400</v>
      </c>
      <c r="B887" s="239" t="s">
        <v>905</v>
      </c>
      <c r="C887" s="286" t="s">
        <v>2975</v>
      </c>
      <c r="D887" s="865" t="s">
        <v>2975</v>
      </c>
      <c r="E887" s="287" t="s">
        <v>3562</v>
      </c>
      <c r="F887" s="287" t="s">
        <v>5177</v>
      </c>
      <c r="G887" s="288" t="s">
        <v>3568</v>
      </c>
      <c r="H887" s="287">
        <v>45231</v>
      </c>
      <c r="I887" s="287" t="s">
        <v>2975</v>
      </c>
      <c r="J887" s="759"/>
    </row>
    <row r="888" spans="1:10" x14ac:dyDescent="0.2">
      <c r="A888" s="944">
        <v>39043041500</v>
      </c>
      <c r="B888" s="239" t="s">
        <v>906</v>
      </c>
      <c r="C888" s="286" t="s">
        <v>2975</v>
      </c>
      <c r="D888" s="865" t="s">
        <v>2975</v>
      </c>
      <c r="E888" s="287" t="s">
        <v>3562</v>
      </c>
      <c r="F888" s="287" t="s">
        <v>3565</v>
      </c>
      <c r="G888" s="288" t="s">
        <v>3568</v>
      </c>
      <c r="H888" s="287">
        <v>45232</v>
      </c>
      <c r="I888" s="287" t="s">
        <v>2975</v>
      </c>
      <c r="J888" s="759"/>
    </row>
    <row r="889" spans="1:10" x14ac:dyDescent="0.2">
      <c r="A889" s="944">
        <v>39043041600</v>
      </c>
      <c r="B889" s="239" t="s">
        <v>907</v>
      </c>
      <c r="C889" s="286" t="s">
        <v>2975</v>
      </c>
      <c r="D889" s="865" t="s">
        <v>2975</v>
      </c>
      <c r="E889" s="287" t="s">
        <v>3562</v>
      </c>
      <c r="F889" s="287" t="s">
        <v>5176</v>
      </c>
      <c r="G889" s="288" t="s">
        <v>3568</v>
      </c>
      <c r="H889" s="287">
        <v>45233</v>
      </c>
      <c r="I889" s="287" t="s">
        <v>2975</v>
      </c>
      <c r="J889" s="759"/>
    </row>
    <row r="890" spans="1:10" x14ac:dyDescent="0.2">
      <c r="A890" s="944">
        <v>39043041700</v>
      </c>
      <c r="B890" s="239" t="s">
        <v>908</v>
      </c>
      <c r="C890" s="286" t="s">
        <v>2975</v>
      </c>
      <c r="D890" s="865" t="s">
        <v>2975</v>
      </c>
      <c r="E890" s="287" t="s">
        <v>3563</v>
      </c>
      <c r="F890" s="287" t="s">
        <v>3565</v>
      </c>
      <c r="G890" s="288" t="s">
        <v>3568</v>
      </c>
      <c r="H890" s="287">
        <v>45236</v>
      </c>
      <c r="I890" s="287" t="s">
        <v>2975</v>
      </c>
      <c r="J890" s="759"/>
    </row>
    <row r="891" spans="1:10" x14ac:dyDescent="0.2">
      <c r="A891" s="944">
        <v>39043041800</v>
      </c>
      <c r="B891" s="239" t="s">
        <v>909</v>
      </c>
      <c r="C891" s="286" t="s">
        <v>2975</v>
      </c>
      <c r="D891" s="865" t="s">
        <v>2975</v>
      </c>
      <c r="E891" s="287" t="s">
        <v>3563</v>
      </c>
      <c r="F891" s="287" t="s">
        <v>3565</v>
      </c>
      <c r="G891" s="288" t="s">
        <v>3568</v>
      </c>
      <c r="H891" s="287">
        <v>45237</v>
      </c>
      <c r="I891" s="287" t="s">
        <v>2975</v>
      </c>
      <c r="J891" s="759"/>
    </row>
    <row r="892" spans="1:10" x14ac:dyDescent="0.2">
      <c r="A892" s="944">
        <v>39045030100</v>
      </c>
      <c r="B892" s="239" t="s">
        <v>910</v>
      </c>
      <c r="C892" s="286" t="s">
        <v>2975</v>
      </c>
      <c r="D892" s="865" t="s">
        <v>2975</v>
      </c>
      <c r="E892" s="287" t="s">
        <v>3566</v>
      </c>
      <c r="F892" s="287" t="s">
        <v>3558</v>
      </c>
      <c r="G892" s="288" t="s">
        <v>3568</v>
      </c>
      <c r="H892" s="287">
        <v>45238</v>
      </c>
      <c r="I892" s="287" t="s">
        <v>2975</v>
      </c>
      <c r="J892" s="759"/>
    </row>
    <row r="893" spans="1:10" x14ac:dyDescent="0.2">
      <c r="A893" s="944">
        <v>39045030200</v>
      </c>
      <c r="B893" s="239" t="s">
        <v>911</v>
      </c>
      <c r="C893" s="286" t="s">
        <v>2975</v>
      </c>
      <c r="D893" s="865" t="s">
        <v>2975</v>
      </c>
      <c r="E893" s="287" t="s">
        <v>3566</v>
      </c>
      <c r="F893" s="287" t="s">
        <v>5177</v>
      </c>
      <c r="G893" s="288" t="s">
        <v>3568</v>
      </c>
      <c r="H893" s="287">
        <v>45239</v>
      </c>
      <c r="I893" s="287" t="s">
        <v>2975</v>
      </c>
      <c r="J893" s="759"/>
    </row>
    <row r="894" spans="1:10" x14ac:dyDescent="0.2">
      <c r="A894" s="944">
        <v>39045030300</v>
      </c>
      <c r="B894" s="239" t="s">
        <v>912</v>
      </c>
      <c r="C894" s="286" t="s">
        <v>2975</v>
      </c>
      <c r="D894" s="865" t="s">
        <v>2975</v>
      </c>
      <c r="E894" s="287" t="s">
        <v>3564</v>
      </c>
      <c r="F894" s="287" t="s">
        <v>3558</v>
      </c>
      <c r="G894" s="288" t="s">
        <v>3568</v>
      </c>
      <c r="H894" s="287">
        <v>45240</v>
      </c>
      <c r="I894" s="287" t="s">
        <v>2975</v>
      </c>
      <c r="J894" s="759"/>
    </row>
    <row r="895" spans="1:10" x14ac:dyDescent="0.2">
      <c r="A895" s="944">
        <v>39045030400</v>
      </c>
      <c r="B895" s="239" t="s">
        <v>913</v>
      </c>
      <c r="C895" s="286" t="s">
        <v>2975</v>
      </c>
      <c r="D895" s="865" t="s">
        <v>2975</v>
      </c>
      <c r="E895" s="287" t="s">
        <v>3562</v>
      </c>
      <c r="F895" s="287" t="s">
        <v>3559</v>
      </c>
      <c r="G895" s="288" t="s">
        <v>3568</v>
      </c>
      <c r="H895" s="287">
        <v>45241</v>
      </c>
      <c r="I895" s="287" t="s">
        <v>2975</v>
      </c>
      <c r="J895" s="759"/>
    </row>
    <row r="896" spans="1:10" x14ac:dyDescent="0.2">
      <c r="A896" s="944">
        <v>39045030600</v>
      </c>
      <c r="B896" s="239" t="s">
        <v>914</v>
      </c>
      <c r="C896" s="286" t="s">
        <v>2975</v>
      </c>
      <c r="D896" s="865" t="s">
        <v>2975</v>
      </c>
      <c r="E896" s="287" t="s">
        <v>3566</v>
      </c>
      <c r="F896" s="287" t="s">
        <v>3558</v>
      </c>
      <c r="G896" s="288" t="s">
        <v>3569</v>
      </c>
      <c r="H896" s="287">
        <v>45242</v>
      </c>
      <c r="I896" s="287" t="s">
        <v>2975</v>
      </c>
      <c r="J896" s="759"/>
    </row>
    <row r="897" spans="1:10" x14ac:dyDescent="0.2">
      <c r="A897" s="944">
        <v>39045030700</v>
      </c>
      <c r="B897" s="239" t="s">
        <v>915</v>
      </c>
      <c r="C897" s="286" t="s">
        <v>2975</v>
      </c>
      <c r="D897" s="865" t="s">
        <v>2975</v>
      </c>
      <c r="E897" s="287" t="s">
        <v>3562</v>
      </c>
      <c r="F897" s="287" t="s">
        <v>5177</v>
      </c>
      <c r="G897" s="288" t="s">
        <v>3568</v>
      </c>
      <c r="H897" s="287">
        <v>45243</v>
      </c>
      <c r="I897" s="287" t="s">
        <v>2975</v>
      </c>
      <c r="J897" s="759"/>
    </row>
    <row r="898" spans="1:10" x14ac:dyDescent="0.2">
      <c r="A898" s="944">
        <v>39045030800</v>
      </c>
      <c r="B898" s="239" t="s">
        <v>916</v>
      </c>
      <c r="C898" s="286" t="s">
        <v>2975</v>
      </c>
      <c r="D898" s="865" t="s">
        <v>2975</v>
      </c>
      <c r="E898" s="287" t="s">
        <v>3562</v>
      </c>
      <c r="F898" s="287" t="s">
        <v>3558</v>
      </c>
      <c r="G898" s="288" t="s">
        <v>3568</v>
      </c>
      <c r="H898" s="287">
        <v>45244</v>
      </c>
      <c r="I898" s="287" t="s">
        <v>2975</v>
      </c>
      <c r="J898" s="759"/>
    </row>
    <row r="899" spans="1:10" x14ac:dyDescent="0.2">
      <c r="A899" s="944">
        <v>39045030900</v>
      </c>
      <c r="B899" s="239" t="s">
        <v>917</v>
      </c>
      <c r="C899" s="286" t="s">
        <v>2975</v>
      </c>
      <c r="D899" s="865" t="s">
        <v>2975</v>
      </c>
      <c r="E899" s="287" t="s">
        <v>3562</v>
      </c>
      <c r="F899" s="287" t="s">
        <v>3559</v>
      </c>
      <c r="G899" s="288" t="s">
        <v>3568</v>
      </c>
      <c r="H899" s="287">
        <v>45245</v>
      </c>
      <c r="I899" s="287" t="s">
        <v>2975</v>
      </c>
      <c r="J899" s="759"/>
    </row>
    <row r="900" spans="1:10" x14ac:dyDescent="0.2">
      <c r="A900" s="944">
        <v>39045031000</v>
      </c>
      <c r="B900" s="239" t="s">
        <v>918</v>
      </c>
      <c r="C900" s="286" t="s">
        <v>2975</v>
      </c>
      <c r="D900" s="865" t="s">
        <v>2975</v>
      </c>
      <c r="E900" s="287" t="s">
        <v>3563</v>
      </c>
      <c r="F900" s="287" t="s">
        <v>3559</v>
      </c>
      <c r="G900" s="288" t="s">
        <v>3568</v>
      </c>
      <c r="H900" s="287">
        <v>45246</v>
      </c>
      <c r="I900" s="287" t="s">
        <v>2975</v>
      </c>
      <c r="J900" s="759"/>
    </row>
    <row r="901" spans="1:10" x14ac:dyDescent="0.2">
      <c r="A901" s="944">
        <v>39045031100</v>
      </c>
      <c r="B901" s="239" t="s">
        <v>919</v>
      </c>
      <c r="C901" s="286" t="s">
        <v>2975</v>
      </c>
      <c r="D901" s="865" t="s">
        <v>2975</v>
      </c>
      <c r="E901" s="287" t="s">
        <v>3566</v>
      </c>
      <c r="F901" s="287" t="s">
        <v>3558</v>
      </c>
      <c r="G901" s="288" t="s">
        <v>3568</v>
      </c>
      <c r="H901" s="287">
        <v>45247</v>
      </c>
      <c r="I901" s="287" t="s">
        <v>2975</v>
      </c>
      <c r="J901" s="759"/>
    </row>
    <row r="902" spans="1:10" x14ac:dyDescent="0.2">
      <c r="A902" s="944">
        <v>39045031200</v>
      </c>
      <c r="B902" s="239" t="s">
        <v>920</v>
      </c>
      <c r="C902" s="286" t="s">
        <v>2975</v>
      </c>
      <c r="D902" s="865" t="s">
        <v>2975</v>
      </c>
      <c r="E902" s="287" t="s">
        <v>3564</v>
      </c>
      <c r="F902" s="287" t="s">
        <v>3559</v>
      </c>
      <c r="G902" s="288" t="s">
        <v>3568</v>
      </c>
      <c r="H902" s="287">
        <v>45248</v>
      </c>
      <c r="I902" s="287" t="s">
        <v>2975</v>
      </c>
      <c r="J902" s="759"/>
    </row>
    <row r="903" spans="1:10" x14ac:dyDescent="0.2">
      <c r="A903" s="944">
        <v>39045031300</v>
      </c>
      <c r="B903" s="239" t="s">
        <v>921</v>
      </c>
      <c r="C903" s="286" t="s">
        <v>4330</v>
      </c>
      <c r="D903" s="865" t="s">
        <v>4330</v>
      </c>
      <c r="E903" s="287" t="s">
        <v>3564</v>
      </c>
      <c r="F903" s="287" t="s">
        <v>3565</v>
      </c>
      <c r="G903" s="288" t="s">
        <v>3568</v>
      </c>
      <c r="H903" s="287">
        <v>45249</v>
      </c>
      <c r="I903" s="287" t="s">
        <v>2975</v>
      </c>
      <c r="J903" s="759"/>
    </row>
    <row r="904" spans="1:10" x14ac:dyDescent="0.2">
      <c r="A904" s="944">
        <v>39045031400</v>
      </c>
      <c r="B904" s="239" t="s">
        <v>922</v>
      </c>
      <c r="C904" s="286" t="s">
        <v>2975</v>
      </c>
      <c r="D904" s="865" t="s">
        <v>2975</v>
      </c>
      <c r="E904" s="287" t="s">
        <v>3566</v>
      </c>
      <c r="F904" s="287" t="s">
        <v>5176</v>
      </c>
      <c r="G904" s="288" t="s">
        <v>3568</v>
      </c>
      <c r="H904" s="287">
        <v>45251</v>
      </c>
      <c r="I904" s="287" t="s">
        <v>2975</v>
      </c>
      <c r="J904" s="759"/>
    </row>
    <row r="905" spans="1:10" x14ac:dyDescent="0.2">
      <c r="A905" s="944">
        <v>39045031500</v>
      </c>
      <c r="B905" s="239" t="s">
        <v>923</v>
      </c>
      <c r="C905" s="286" t="s">
        <v>2975</v>
      </c>
      <c r="D905" s="865" t="s">
        <v>2975</v>
      </c>
      <c r="E905" s="287" t="s">
        <v>3562</v>
      </c>
      <c r="F905" s="287" t="s">
        <v>5176</v>
      </c>
      <c r="G905" s="288" t="s">
        <v>3568</v>
      </c>
      <c r="H905" s="287">
        <v>45252</v>
      </c>
      <c r="I905" s="287" t="s">
        <v>2975</v>
      </c>
      <c r="J905" s="759"/>
    </row>
    <row r="906" spans="1:10" x14ac:dyDescent="0.2">
      <c r="A906" s="944">
        <v>39045031600</v>
      </c>
      <c r="B906" s="239" t="s">
        <v>924</v>
      </c>
      <c r="C906" s="286" t="s">
        <v>4330</v>
      </c>
      <c r="D906" s="865" t="s">
        <v>2975</v>
      </c>
      <c r="E906" s="287" t="s">
        <v>3564</v>
      </c>
      <c r="F906" s="287" t="s">
        <v>3565</v>
      </c>
      <c r="G906" s="288" t="s">
        <v>3568</v>
      </c>
      <c r="H906" s="287">
        <v>45255</v>
      </c>
      <c r="I906" s="287" t="s">
        <v>2975</v>
      </c>
      <c r="J906" s="759"/>
    </row>
    <row r="907" spans="1:10" x14ac:dyDescent="0.2">
      <c r="A907" s="944">
        <v>39045031700</v>
      </c>
      <c r="B907" s="239" t="s">
        <v>925</v>
      </c>
      <c r="C907" s="286" t="s">
        <v>4330</v>
      </c>
      <c r="D907" s="865" t="s">
        <v>4330</v>
      </c>
      <c r="E907" s="287" t="s">
        <v>3557</v>
      </c>
      <c r="F907" s="287" t="s">
        <v>3558</v>
      </c>
      <c r="G907" s="288" t="s">
        <v>5175</v>
      </c>
      <c r="H907" s="287">
        <v>45301</v>
      </c>
      <c r="I907" s="287" t="s">
        <v>2975</v>
      </c>
      <c r="J907" s="759"/>
    </row>
    <row r="908" spans="1:10" x14ac:dyDescent="0.2">
      <c r="A908" s="944">
        <v>39045032000</v>
      </c>
      <c r="B908" s="239" t="s">
        <v>926</v>
      </c>
      <c r="C908" s="286" t="s">
        <v>4330</v>
      </c>
      <c r="D908" s="865" t="s">
        <v>4330</v>
      </c>
      <c r="E908" s="287" t="s">
        <v>3564</v>
      </c>
      <c r="F908" s="287" t="s">
        <v>3559</v>
      </c>
      <c r="G908" s="288" t="s">
        <v>5175</v>
      </c>
      <c r="H908" s="287">
        <v>45302</v>
      </c>
      <c r="I908" s="287" t="s">
        <v>2975</v>
      </c>
      <c r="J908" s="759"/>
    </row>
    <row r="909" spans="1:10" x14ac:dyDescent="0.2">
      <c r="A909" s="944">
        <v>39045032100</v>
      </c>
      <c r="B909" s="239" t="s">
        <v>927</v>
      </c>
      <c r="C909" s="286" t="s">
        <v>2975</v>
      </c>
      <c r="D909" s="865" t="s">
        <v>2975</v>
      </c>
      <c r="E909" s="287" t="s">
        <v>3563</v>
      </c>
      <c r="F909" s="287" t="s">
        <v>3565</v>
      </c>
      <c r="G909" s="288" t="s">
        <v>5175</v>
      </c>
      <c r="H909" s="287">
        <v>45303</v>
      </c>
      <c r="I909" s="287" t="s">
        <v>2975</v>
      </c>
      <c r="J909" s="759"/>
    </row>
    <row r="910" spans="1:10" x14ac:dyDescent="0.2">
      <c r="A910" s="944">
        <v>39045032200</v>
      </c>
      <c r="B910" s="239" t="s">
        <v>928</v>
      </c>
      <c r="C910" s="286" t="s">
        <v>4330</v>
      </c>
      <c r="D910" s="865" t="s">
        <v>4330</v>
      </c>
      <c r="E910" s="287" t="s">
        <v>3557</v>
      </c>
      <c r="F910" s="287" t="s">
        <v>5176</v>
      </c>
      <c r="G910" s="288" t="s">
        <v>5175</v>
      </c>
      <c r="H910" s="287">
        <v>45304</v>
      </c>
      <c r="I910" s="287" t="s">
        <v>2975</v>
      </c>
      <c r="J910" s="759"/>
    </row>
    <row r="911" spans="1:10" x14ac:dyDescent="0.2">
      <c r="A911" s="944">
        <v>39045032300</v>
      </c>
      <c r="B911" s="239" t="s">
        <v>929</v>
      </c>
      <c r="C911" s="286" t="s">
        <v>2975</v>
      </c>
      <c r="D911" s="865" t="s">
        <v>2975</v>
      </c>
      <c r="E911" s="287" t="s">
        <v>3564</v>
      </c>
      <c r="F911" s="287" t="s">
        <v>5176</v>
      </c>
      <c r="G911" s="288" t="s">
        <v>3568</v>
      </c>
      <c r="H911" s="287">
        <v>45305</v>
      </c>
      <c r="I911" s="287" t="s">
        <v>2975</v>
      </c>
      <c r="J911" s="759"/>
    </row>
    <row r="912" spans="1:10" x14ac:dyDescent="0.2">
      <c r="A912" s="944">
        <v>39045032500</v>
      </c>
      <c r="B912" s="239" t="s">
        <v>930</v>
      </c>
      <c r="C912" s="286" t="s">
        <v>2975</v>
      </c>
      <c r="D912" s="865" t="s">
        <v>2975</v>
      </c>
      <c r="E912" s="287" t="s">
        <v>3562</v>
      </c>
      <c r="F912" s="287" t="s">
        <v>3558</v>
      </c>
      <c r="G912" s="288" t="s">
        <v>3568</v>
      </c>
      <c r="H912" s="287">
        <v>45306</v>
      </c>
      <c r="I912" s="287" t="s">
        <v>2975</v>
      </c>
      <c r="J912" s="759"/>
    </row>
    <row r="913" spans="1:10" x14ac:dyDescent="0.2">
      <c r="A913" s="944">
        <v>39045032600</v>
      </c>
      <c r="B913" s="239" t="s">
        <v>931</v>
      </c>
      <c r="C913" s="286" t="s">
        <v>2975</v>
      </c>
      <c r="D913" s="865" t="s">
        <v>2975</v>
      </c>
      <c r="E913" s="287" t="s">
        <v>3564</v>
      </c>
      <c r="F913" s="287" t="s">
        <v>3558</v>
      </c>
      <c r="G913" s="288" t="s">
        <v>3568</v>
      </c>
      <c r="H913" s="287">
        <v>45307</v>
      </c>
      <c r="I913" s="287" t="s">
        <v>2975</v>
      </c>
      <c r="J913" s="759"/>
    </row>
    <row r="914" spans="1:10" x14ac:dyDescent="0.2">
      <c r="A914" s="944">
        <v>39045032701</v>
      </c>
      <c r="B914" s="239" t="s">
        <v>932</v>
      </c>
      <c r="C914" s="286" t="s">
        <v>2975</v>
      </c>
      <c r="D914" s="865" t="s">
        <v>2975</v>
      </c>
      <c r="E914" s="287" t="s">
        <v>3566</v>
      </c>
      <c r="F914" s="287" t="s">
        <v>5176</v>
      </c>
      <c r="G914" s="288" t="s">
        <v>3569</v>
      </c>
      <c r="H914" s="287">
        <v>45308</v>
      </c>
      <c r="I914" s="287" t="s">
        <v>2975</v>
      </c>
      <c r="J914" s="759"/>
    </row>
    <row r="915" spans="1:10" x14ac:dyDescent="0.2">
      <c r="A915" s="944">
        <v>39045032702</v>
      </c>
      <c r="B915" s="239" t="s">
        <v>933</v>
      </c>
      <c r="C915" s="286" t="s">
        <v>2975</v>
      </c>
      <c r="D915" s="865" t="s">
        <v>2975</v>
      </c>
      <c r="E915" s="287" t="s">
        <v>3564</v>
      </c>
      <c r="F915" s="287" t="s">
        <v>3558</v>
      </c>
      <c r="G915" s="288" t="s">
        <v>3569</v>
      </c>
      <c r="H915" s="287">
        <v>45309</v>
      </c>
      <c r="I915" s="287" t="s">
        <v>2975</v>
      </c>
      <c r="J915" s="759"/>
    </row>
    <row r="916" spans="1:10" x14ac:dyDescent="0.2">
      <c r="A916" s="944">
        <v>39045032800</v>
      </c>
      <c r="B916" s="239" t="s">
        <v>934</v>
      </c>
      <c r="C916" s="286" t="s">
        <v>2975</v>
      </c>
      <c r="D916" s="865" t="s">
        <v>2975</v>
      </c>
      <c r="E916" s="287" t="s">
        <v>3562</v>
      </c>
      <c r="F916" s="287" t="s">
        <v>3565</v>
      </c>
      <c r="G916" s="288" t="s">
        <v>3569</v>
      </c>
      <c r="H916" s="287">
        <v>45310</v>
      </c>
      <c r="I916" s="287" t="s">
        <v>2975</v>
      </c>
      <c r="J916" s="759"/>
    </row>
    <row r="917" spans="1:10" x14ac:dyDescent="0.2">
      <c r="A917" s="944">
        <v>39045032900</v>
      </c>
      <c r="B917" s="239" t="s">
        <v>935</v>
      </c>
      <c r="C917" s="286" t="s">
        <v>2975</v>
      </c>
      <c r="D917" s="865" t="s">
        <v>2975</v>
      </c>
      <c r="E917" s="287" t="s">
        <v>3562</v>
      </c>
      <c r="F917" s="287" t="s">
        <v>3565</v>
      </c>
      <c r="G917" s="288" t="s">
        <v>3569</v>
      </c>
      <c r="H917" s="287">
        <v>45311</v>
      </c>
      <c r="I917" s="287" t="s">
        <v>2975</v>
      </c>
      <c r="J917" s="759"/>
    </row>
    <row r="918" spans="1:10" x14ac:dyDescent="0.2">
      <c r="A918" s="944">
        <v>39045033000</v>
      </c>
      <c r="B918" s="239" t="s">
        <v>936</v>
      </c>
      <c r="C918" s="286" t="s">
        <v>2975</v>
      </c>
      <c r="D918" s="865" t="s">
        <v>2975</v>
      </c>
      <c r="E918" s="287" t="s">
        <v>3563</v>
      </c>
      <c r="F918" s="287" t="s">
        <v>5177</v>
      </c>
      <c r="G918" s="288" t="s">
        <v>3569</v>
      </c>
      <c r="H918" s="287">
        <v>45312</v>
      </c>
      <c r="I918" s="287" t="s">
        <v>2975</v>
      </c>
      <c r="J918" s="759"/>
    </row>
    <row r="919" spans="1:10" x14ac:dyDescent="0.2">
      <c r="A919" s="944">
        <v>39045033100</v>
      </c>
      <c r="B919" s="239" t="s">
        <v>937</v>
      </c>
      <c r="C919" s="286" t="s">
        <v>2975</v>
      </c>
      <c r="D919" s="865" t="s">
        <v>2975</v>
      </c>
      <c r="E919" s="287" t="s">
        <v>3563</v>
      </c>
      <c r="F919" s="287" t="s">
        <v>3559</v>
      </c>
      <c r="G919" s="288" t="s">
        <v>3569</v>
      </c>
      <c r="H919" s="287">
        <v>45314</v>
      </c>
      <c r="I919" s="287" t="s">
        <v>2975</v>
      </c>
      <c r="J919" s="759"/>
    </row>
    <row r="920" spans="1:10" x14ac:dyDescent="0.2">
      <c r="A920" s="944">
        <v>39047925800</v>
      </c>
      <c r="B920" s="239" t="s">
        <v>938</v>
      </c>
      <c r="C920" s="286" t="s">
        <v>2975</v>
      </c>
      <c r="D920" s="865" t="s">
        <v>2975</v>
      </c>
      <c r="E920" s="287" t="s">
        <v>3566</v>
      </c>
      <c r="F920" s="287" t="s">
        <v>3559</v>
      </c>
      <c r="G920" s="288" t="s">
        <v>3568</v>
      </c>
      <c r="H920" s="287">
        <v>45315</v>
      </c>
      <c r="I920" s="287" t="s">
        <v>2975</v>
      </c>
      <c r="J920" s="759"/>
    </row>
    <row r="921" spans="1:10" x14ac:dyDescent="0.2">
      <c r="A921" s="944">
        <v>39047925900</v>
      </c>
      <c r="B921" s="239" t="s">
        <v>939</v>
      </c>
      <c r="C921" s="286" t="s">
        <v>2975</v>
      </c>
      <c r="D921" s="865" t="s">
        <v>2975</v>
      </c>
      <c r="E921" s="287" t="s">
        <v>3566</v>
      </c>
      <c r="F921" s="287" t="s">
        <v>3558</v>
      </c>
      <c r="G921" s="288" t="s">
        <v>3568</v>
      </c>
      <c r="H921" s="287">
        <v>45316</v>
      </c>
      <c r="I921" s="287" t="s">
        <v>2975</v>
      </c>
      <c r="J921" s="759"/>
    </row>
    <row r="922" spans="1:10" x14ac:dyDescent="0.2">
      <c r="A922" s="944">
        <v>39047926000</v>
      </c>
      <c r="B922" s="239" t="s">
        <v>940</v>
      </c>
      <c r="C922" s="286" t="s">
        <v>2975</v>
      </c>
      <c r="D922" s="865" t="s">
        <v>2975</v>
      </c>
      <c r="E922" s="287" t="s">
        <v>3564</v>
      </c>
      <c r="F922" s="287" t="s">
        <v>3558</v>
      </c>
      <c r="G922" s="288" t="s">
        <v>3568</v>
      </c>
      <c r="H922" s="287">
        <v>45317</v>
      </c>
      <c r="I922" s="287" t="s">
        <v>2975</v>
      </c>
      <c r="J922" s="759"/>
    </row>
    <row r="923" spans="1:10" x14ac:dyDescent="0.2">
      <c r="A923" s="944">
        <v>39047926100</v>
      </c>
      <c r="B923" s="239" t="s">
        <v>941</v>
      </c>
      <c r="C923" s="286" t="s">
        <v>2975</v>
      </c>
      <c r="D923" s="865" t="s">
        <v>2975</v>
      </c>
      <c r="E923" s="287" t="s">
        <v>3557</v>
      </c>
      <c r="F923" s="287" t="s">
        <v>3559</v>
      </c>
      <c r="G923" s="288" t="s">
        <v>3568</v>
      </c>
      <c r="H923" s="287">
        <v>45318</v>
      </c>
      <c r="I923" s="287" t="s">
        <v>2975</v>
      </c>
      <c r="J923" s="759"/>
    </row>
    <row r="924" spans="1:10" x14ac:dyDescent="0.2">
      <c r="A924" s="944">
        <v>39047926200</v>
      </c>
      <c r="B924" s="239" t="s">
        <v>942</v>
      </c>
      <c r="C924" s="286" t="s">
        <v>2975</v>
      </c>
      <c r="D924" s="865" t="s">
        <v>2975</v>
      </c>
      <c r="E924" s="287" t="s">
        <v>3566</v>
      </c>
      <c r="F924" s="287" t="s">
        <v>3559</v>
      </c>
      <c r="G924" s="288" t="s">
        <v>3568</v>
      </c>
      <c r="H924" s="287">
        <v>45319</v>
      </c>
      <c r="I924" s="287" t="s">
        <v>2975</v>
      </c>
      <c r="J924" s="759"/>
    </row>
    <row r="925" spans="1:10" x14ac:dyDescent="0.2">
      <c r="A925" s="944">
        <v>39047926300</v>
      </c>
      <c r="B925" s="239" t="s">
        <v>943</v>
      </c>
      <c r="C925" s="286" t="s">
        <v>2975</v>
      </c>
      <c r="D925" s="865" t="s">
        <v>2975</v>
      </c>
      <c r="E925" s="287" t="s">
        <v>3564</v>
      </c>
      <c r="F925" s="287" t="s">
        <v>3558</v>
      </c>
      <c r="G925" s="288" t="s">
        <v>3568</v>
      </c>
      <c r="H925" s="287">
        <v>45320</v>
      </c>
      <c r="I925" s="287" t="s">
        <v>2975</v>
      </c>
      <c r="J925" s="759"/>
    </row>
    <row r="926" spans="1:10" x14ac:dyDescent="0.2">
      <c r="A926" s="944">
        <v>39047926400</v>
      </c>
      <c r="B926" s="239" t="s">
        <v>944</v>
      </c>
      <c r="C926" s="286" t="s">
        <v>2975</v>
      </c>
      <c r="D926" s="865" t="s">
        <v>2975</v>
      </c>
      <c r="E926" s="287" t="s">
        <v>3564</v>
      </c>
      <c r="F926" s="287" t="s">
        <v>3558</v>
      </c>
      <c r="G926" s="288" t="s">
        <v>3568</v>
      </c>
      <c r="H926" s="287">
        <v>45321</v>
      </c>
      <c r="I926" s="287" t="s">
        <v>2975</v>
      </c>
      <c r="J926" s="759"/>
    </row>
    <row r="927" spans="1:10" x14ac:dyDescent="0.2">
      <c r="A927" s="944">
        <v>39049000110</v>
      </c>
      <c r="B927" s="239" t="s">
        <v>945</v>
      </c>
      <c r="C927" s="286" t="s">
        <v>2975</v>
      </c>
      <c r="D927" s="865" t="s">
        <v>2975</v>
      </c>
      <c r="E927" s="287" t="s">
        <v>3562</v>
      </c>
      <c r="F927" s="287" t="s">
        <v>3558</v>
      </c>
      <c r="G927" s="288" t="s">
        <v>3553</v>
      </c>
      <c r="H927" s="287">
        <v>45322</v>
      </c>
      <c r="I927" s="287" t="s">
        <v>2975</v>
      </c>
      <c r="J927" s="759"/>
    </row>
    <row r="928" spans="1:10" x14ac:dyDescent="0.2">
      <c r="A928" s="944">
        <v>39049000120</v>
      </c>
      <c r="B928" s="239" t="s">
        <v>946</v>
      </c>
      <c r="C928" s="286" t="s">
        <v>2975</v>
      </c>
      <c r="D928" s="865" t="s">
        <v>2975</v>
      </c>
      <c r="E928" s="287" t="s">
        <v>3562</v>
      </c>
      <c r="F928" s="287" t="s">
        <v>3559</v>
      </c>
      <c r="G928" s="288" t="s">
        <v>3553</v>
      </c>
      <c r="H928" s="287">
        <v>45323</v>
      </c>
      <c r="I928" s="287" t="s">
        <v>2975</v>
      </c>
      <c r="J928" s="759"/>
    </row>
    <row r="929" spans="1:10" x14ac:dyDescent="0.2">
      <c r="A929" s="944">
        <v>39049000210</v>
      </c>
      <c r="B929" s="239" t="s">
        <v>947</v>
      </c>
      <c r="C929" s="286" t="s">
        <v>2975</v>
      </c>
      <c r="D929" s="865" t="s">
        <v>2975</v>
      </c>
      <c r="E929" s="287" t="s">
        <v>3562</v>
      </c>
      <c r="F929" s="287" t="s">
        <v>3565</v>
      </c>
      <c r="G929" s="288" t="s">
        <v>3553</v>
      </c>
      <c r="H929" s="287">
        <v>45324</v>
      </c>
      <c r="I929" s="287" t="s">
        <v>2975</v>
      </c>
      <c r="J929" s="759"/>
    </row>
    <row r="930" spans="1:10" x14ac:dyDescent="0.2">
      <c r="A930" s="944">
        <v>39049000220</v>
      </c>
      <c r="B930" s="239" t="s">
        <v>948</v>
      </c>
      <c r="C930" s="286" t="s">
        <v>2975</v>
      </c>
      <c r="D930" s="865" t="s">
        <v>2975</v>
      </c>
      <c r="E930" s="287" t="s">
        <v>3562</v>
      </c>
      <c r="F930" s="287" t="s">
        <v>3559</v>
      </c>
      <c r="G930" s="288" t="s">
        <v>3553</v>
      </c>
      <c r="H930" s="287">
        <v>45325</v>
      </c>
      <c r="I930" s="287" t="s">
        <v>2975</v>
      </c>
      <c r="J930" s="759"/>
    </row>
    <row r="931" spans="1:10" x14ac:dyDescent="0.2">
      <c r="A931" s="944">
        <v>39049000310</v>
      </c>
      <c r="B931" s="239" t="s">
        <v>949</v>
      </c>
      <c r="C931" s="286" t="s">
        <v>2975</v>
      </c>
      <c r="D931" s="865" t="s">
        <v>4330</v>
      </c>
      <c r="E931" s="287" t="s">
        <v>3564</v>
      </c>
      <c r="F931" s="287" t="s">
        <v>3559</v>
      </c>
      <c r="G931" s="288" t="s">
        <v>3569</v>
      </c>
      <c r="H931" s="287">
        <v>45326</v>
      </c>
      <c r="I931" s="287" t="s">
        <v>2975</v>
      </c>
      <c r="J931" s="759"/>
    </row>
    <row r="932" spans="1:10" x14ac:dyDescent="0.2">
      <c r="A932" s="944">
        <v>39049000320</v>
      </c>
      <c r="B932" s="239" t="s">
        <v>950</v>
      </c>
      <c r="C932" s="286" t="s">
        <v>2975</v>
      </c>
      <c r="D932" s="865" t="s">
        <v>2975</v>
      </c>
      <c r="E932" s="287" t="s">
        <v>3566</v>
      </c>
      <c r="F932" s="287" t="s">
        <v>5176</v>
      </c>
      <c r="G932" s="288" t="s">
        <v>3569</v>
      </c>
      <c r="H932" s="287">
        <v>45327</v>
      </c>
      <c r="I932" s="287" t="s">
        <v>2975</v>
      </c>
      <c r="J932" s="759"/>
    </row>
    <row r="933" spans="1:10" x14ac:dyDescent="0.2">
      <c r="A933" s="944">
        <v>39049000330</v>
      </c>
      <c r="B933" s="239" t="s">
        <v>951</v>
      </c>
      <c r="C933" s="286" t="s">
        <v>4330</v>
      </c>
      <c r="D933" s="865" t="s">
        <v>4330</v>
      </c>
      <c r="E933" s="287" t="s">
        <v>3557</v>
      </c>
      <c r="F933" s="287" t="s">
        <v>5176</v>
      </c>
      <c r="G933" s="288" t="s">
        <v>3569</v>
      </c>
      <c r="H933" s="287">
        <v>45328</v>
      </c>
      <c r="I933" s="287" t="s">
        <v>2975</v>
      </c>
      <c r="J933" s="759"/>
    </row>
    <row r="934" spans="1:10" x14ac:dyDescent="0.2">
      <c r="A934" s="944">
        <v>39049000410</v>
      </c>
      <c r="B934" s="239" t="s">
        <v>952</v>
      </c>
      <c r="C934" s="286" t="s">
        <v>2975</v>
      </c>
      <c r="D934" s="865" t="s">
        <v>2975</v>
      </c>
      <c r="E934" s="287" t="s">
        <v>3562</v>
      </c>
      <c r="F934" s="287" t="s">
        <v>3559</v>
      </c>
      <c r="G934" s="288" t="s">
        <v>3553</v>
      </c>
      <c r="H934" s="287">
        <v>45330</v>
      </c>
      <c r="I934" s="287" t="s">
        <v>2975</v>
      </c>
      <c r="J934" s="759"/>
    </row>
    <row r="935" spans="1:10" x14ac:dyDescent="0.2">
      <c r="A935" s="944">
        <v>39049000420</v>
      </c>
      <c r="B935" s="239" t="s">
        <v>953</v>
      </c>
      <c r="C935" s="286" t="s">
        <v>2975</v>
      </c>
      <c r="D935" s="865" t="s">
        <v>2975</v>
      </c>
      <c r="E935" s="287" t="s">
        <v>3562</v>
      </c>
      <c r="F935" s="287" t="s">
        <v>3565</v>
      </c>
      <c r="G935" s="288" t="s">
        <v>3553</v>
      </c>
      <c r="H935" s="287">
        <v>45331</v>
      </c>
      <c r="I935" s="287" t="s">
        <v>2975</v>
      </c>
      <c r="J935" s="759"/>
    </row>
    <row r="936" spans="1:10" x14ac:dyDescent="0.2">
      <c r="A936" s="944">
        <v>39049000500</v>
      </c>
      <c r="B936" s="239" t="s">
        <v>954</v>
      </c>
      <c r="C936" s="286" t="s">
        <v>2975</v>
      </c>
      <c r="D936" s="865" t="s">
        <v>2975</v>
      </c>
      <c r="E936" s="287" t="s">
        <v>3562</v>
      </c>
      <c r="F936" s="287" t="s">
        <v>3558</v>
      </c>
      <c r="G936" s="288" t="s">
        <v>3553</v>
      </c>
      <c r="H936" s="287">
        <v>45332</v>
      </c>
      <c r="I936" s="287" t="s">
        <v>2975</v>
      </c>
      <c r="J936" s="759"/>
    </row>
    <row r="937" spans="1:10" x14ac:dyDescent="0.2">
      <c r="A937" s="944">
        <v>39049000600</v>
      </c>
      <c r="B937" s="239" t="s">
        <v>955</v>
      </c>
      <c r="C937" s="286" t="s">
        <v>4330</v>
      </c>
      <c r="D937" s="865" t="s">
        <v>4330</v>
      </c>
      <c r="E937" s="287" t="s">
        <v>3562</v>
      </c>
      <c r="F937" s="287" t="s">
        <v>3559</v>
      </c>
      <c r="G937" s="288" t="s">
        <v>3553</v>
      </c>
      <c r="H937" s="287">
        <v>45333</v>
      </c>
      <c r="I937" s="287" t="s">
        <v>2975</v>
      </c>
      <c r="J937" s="759"/>
    </row>
    <row r="938" spans="1:10" x14ac:dyDescent="0.2">
      <c r="A938" s="944">
        <v>39049000710</v>
      </c>
      <c r="B938" s="239" t="s">
        <v>956</v>
      </c>
      <c r="C938" s="286" t="s">
        <v>4330</v>
      </c>
      <c r="D938" s="865" t="s">
        <v>4330</v>
      </c>
      <c r="E938" s="287" t="s">
        <v>3566</v>
      </c>
      <c r="F938" s="287" t="s">
        <v>3559</v>
      </c>
      <c r="G938" s="288" t="s">
        <v>3553</v>
      </c>
      <c r="H938" s="287">
        <v>45334</v>
      </c>
      <c r="I938" s="287" t="s">
        <v>2975</v>
      </c>
      <c r="J938" s="759"/>
    </row>
    <row r="939" spans="1:10" x14ac:dyDescent="0.2">
      <c r="A939" s="944">
        <v>39049000720</v>
      </c>
      <c r="B939" s="239" t="s">
        <v>957</v>
      </c>
      <c r="C939" s="286" t="s">
        <v>4330</v>
      </c>
      <c r="D939" s="865" t="s">
        <v>4330</v>
      </c>
      <c r="E939" s="287" t="s">
        <v>3557</v>
      </c>
      <c r="F939" s="287" t="s">
        <v>5176</v>
      </c>
      <c r="G939" s="288" t="s">
        <v>3553</v>
      </c>
      <c r="H939" s="287">
        <v>45335</v>
      </c>
      <c r="I939" s="287" t="s">
        <v>2975</v>
      </c>
      <c r="J939" s="759"/>
    </row>
    <row r="940" spans="1:10" x14ac:dyDescent="0.2">
      <c r="A940" s="944">
        <v>39049000730</v>
      </c>
      <c r="B940" s="239" t="s">
        <v>958</v>
      </c>
      <c r="C940" s="286" t="s">
        <v>4330</v>
      </c>
      <c r="D940" s="865" t="s">
        <v>4330</v>
      </c>
      <c r="E940" s="287" t="s">
        <v>3557</v>
      </c>
      <c r="F940" s="287" t="s">
        <v>3559</v>
      </c>
      <c r="G940" s="288" t="s">
        <v>3553</v>
      </c>
      <c r="H940" s="287">
        <v>45336</v>
      </c>
      <c r="I940" s="287" t="s">
        <v>2975</v>
      </c>
      <c r="J940" s="759"/>
    </row>
    <row r="941" spans="1:10" x14ac:dyDescent="0.2">
      <c r="A941" s="944">
        <v>39049000810</v>
      </c>
      <c r="B941" s="239" t="s">
        <v>959</v>
      </c>
      <c r="C941" s="286" t="s">
        <v>4330</v>
      </c>
      <c r="D941" s="865" t="s">
        <v>2975</v>
      </c>
      <c r="E941" s="287" t="s">
        <v>3563</v>
      </c>
      <c r="F941" s="287" t="s">
        <v>5176</v>
      </c>
      <c r="G941" s="288" t="s">
        <v>3553</v>
      </c>
      <c r="H941" s="287">
        <v>45337</v>
      </c>
      <c r="I941" s="287" t="s">
        <v>2975</v>
      </c>
      <c r="J941" s="759"/>
    </row>
    <row r="942" spans="1:10" x14ac:dyDescent="0.2">
      <c r="A942" s="944">
        <v>39049000820</v>
      </c>
      <c r="B942" s="239" t="s">
        <v>960</v>
      </c>
      <c r="C942" s="286" t="s">
        <v>4330</v>
      </c>
      <c r="D942" s="865" t="s">
        <v>4330</v>
      </c>
      <c r="E942" s="287" t="s">
        <v>3566</v>
      </c>
      <c r="F942" s="287" t="s">
        <v>3558</v>
      </c>
      <c r="G942" s="288" t="s">
        <v>3553</v>
      </c>
      <c r="H942" s="287">
        <v>45338</v>
      </c>
      <c r="I942" s="287" t="s">
        <v>2975</v>
      </c>
      <c r="J942" s="759"/>
    </row>
    <row r="943" spans="1:10" x14ac:dyDescent="0.2">
      <c r="A943" s="944">
        <v>39049000910</v>
      </c>
      <c r="B943" s="239" t="s">
        <v>961</v>
      </c>
      <c r="C943" s="286" t="s">
        <v>4330</v>
      </c>
      <c r="D943" s="865" t="s">
        <v>4330</v>
      </c>
      <c r="E943" s="287" t="s">
        <v>3564</v>
      </c>
      <c r="F943" s="287" t="s">
        <v>3565</v>
      </c>
      <c r="G943" s="288" t="s">
        <v>3553</v>
      </c>
      <c r="H943" s="287">
        <v>45339</v>
      </c>
      <c r="I943" s="287" t="s">
        <v>2975</v>
      </c>
      <c r="J943" s="759"/>
    </row>
    <row r="944" spans="1:10" x14ac:dyDescent="0.2">
      <c r="A944" s="944">
        <v>39049000920</v>
      </c>
      <c r="B944" s="239" t="s">
        <v>962</v>
      </c>
      <c r="C944" s="286" t="s">
        <v>4330</v>
      </c>
      <c r="D944" s="865" t="s">
        <v>4330</v>
      </c>
      <c r="E944" s="287" t="s">
        <v>3564</v>
      </c>
      <c r="F944" s="287" t="s">
        <v>5177</v>
      </c>
      <c r="G944" s="288" t="s">
        <v>3553</v>
      </c>
      <c r="H944" s="287">
        <v>45340</v>
      </c>
      <c r="I944" s="287" t="s">
        <v>2975</v>
      </c>
      <c r="J944" s="759"/>
    </row>
    <row r="945" spans="1:10" x14ac:dyDescent="0.2">
      <c r="A945" s="944">
        <v>39049001000</v>
      </c>
      <c r="B945" s="239" t="s">
        <v>963</v>
      </c>
      <c r="C945" s="286" t="s">
        <v>4330</v>
      </c>
      <c r="D945" s="865" t="s">
        <v>4330</v>
      </c>
      <c r="E945" s="287" t="s">
        <v>3562</v>
      </c>
      <c r="F945" s="287" t="s">
        <v>3561</v>
      </c>
      <c r="G945" s="288" t="s">
        <v>3553</v>
      </c>
      <c r="H945" s="287">
        <v>45341</v>
      </c>
      <c r="I945" s="287" t="s">
        <v>2975</v>
      </c>
      <c r="J945" s="759"/>
    </row>
    <row r="946" spans="1:10" x14ac:dyDescent="0.2">
      <c r="A946" s="944">
        <v>39049001110</v>
      </c>
      <c r="B946" s="239" t="s">
        <v>964</v>
      </c>
      <c r="C946" s="286" t="s">
        <v>4330</v>
      </c>
      <c r="D946" s="865" t="s">
        <v>4330</v>
      </c>
      <c r="E946" s="287" t="s">
        <v>3562</v>
      </c>
      <c r="F946" s="287" t="s">
        <v>5177</v>
      </c>
      <c r="G946" s="288" t="s">
        <v>3553</v>
      </c>
      <c r="H946" s="287">
        <v>45342</v>
      </c>
      <c r="I946" s="287" t="s">
        <v>2975</v>
      </c>
      <c r="J946" s="759"/>
    </row>
    <row r="947" spans="1:10" x14ac:dyDescent="0.2">
      <c r="A947" s="944">
        <v>39049001121</v>
      </c>
      <c r="B947" s="239" t="s">
        <v>965</v>
      </c>
      <c r="C947" s="286" t="s">
        <v>2975</v>
      </c>
      <c r="D947" s="865" t="s">
        <v>2975</v>
      </c>
      <c r="E947" s="287" t="s">
        <v>3562</v>
      </c>
      <c r="F947" s="287"/>
      <c r="G947" s="288" t="s">
        <v>3553</v>
      </c>
      <c r="H947" s="287">
        <v>45344</v>
      </c>
      <c r="I947" s="287" t="s">
        <v>2975</v>
      </c>
      <c r="J947" s="759"/>
    </row>
    <row r="948" spans="1:10" x14ac:dyDescent="0.2">
      <c r="A948" s="944">
        <v>39049001122</v>
      </c>
      <c r="B948" s="239" t="s">
        <v>966</v>
      </c>
      <c r="C948" s="286" t="s">
        <v>4330</v>
      </c>
      <c r="D948" s="865" t="s">
        <v>4330</v>
      </c>
      <c r="E948" s="287" t="s">
        <v>3563</v>
      </c>
      <c r="F948" s="287" t="s">
        <v>5177</v>
      </c>
      <c r="G948" s="288" t="s">
        <v>3569</v>
      </c>
      <c r="H948" s="287">
        <v>45345</v>
      </c>
      <c r="I948" s="287" t="s">
        <v>2975</v>
      </c>
      <c r="J948" s="759"/>
    </row>
    <row r="949" spans="1:10" x14ac:dyDescent="0.2">
      <c r="A949" s="944">
        <v>39049001200</v>
      </c>
      <c r="B949" s="239" t="s">
        <v>967</v>
      </c>
      <c r="C949" s="286" t="s">
        <v>4330</v>
      </c>
      <c r="D949" s="865" t="s">
        <v>4330</v>
      </c>
      <c r="E949" s="287" t="s">
        <v>3562</v>
      </c>
      <c r="F949" s="287" t="s">
        <v>3561</v>
      </c>
      <c r="G949" s="288" t="s">
        <v>3553</v>
      </c>
      <c r="H949" s="287">
        <v>45346</v>
      </c>
      <c r="I949" s="287" t="s">
        <v>2975</v>
      </c>
      <c r="J949" s="759"/>
    </row>
    <row r="950" spans="1:10" x14ac:dyDescent="0.2">
      <c r="A950" s="944">
        <v>39049001300</v>
      </c>
      <c r="B950" s="239" t="s">
        <v>968</v>
      </c>
      <c r="C950" s="286" t="s">
        <v>4330</v>
      </c>
      <c r="D950" s="865" t="s">
        <v>4330</v>
      </c>
      <c r="E950" s="287" t="s">
        <v>3562</v>
      </c>
      <c r="F950" s="287" t="s">
        <v>3558</v>
      </c>
      <c r="G950" s="288" t="s">
        <v>3553</v>
      </c>
      <c r="H950" s="287">
        <v>45347</v>
      </c>
      <c r="I950" s="287" t="s">
        <v>2975</v>
      </c>
      <c r="J950" s="759"/>
    </row>
    <row r="951" spans="1:10" x14ac:dyDescent="0.2">
      <c r="A951" s="944">
        <v>39049001400</v>
      </c>
      <c r="B951" s="239" t="s">
        <v>969</v>
      </c>
      <c r="C951" s="286" t="s">
        <v>4330</v>
      </c>
      <c r="D951" s="865" t="s">
        <v>4330</v>
      </c>
      <c r="E951" s="287" t="s">
        <v>3557</v>
      </c>
      <c r="F951" s="287" t="s">
        <v>3565</v>
      </c>
      <c r="G951" s="288" t="s">
        <v>3553</v>
      </c>
      <c r="H951" s="287">
        <v>45348</v>
      </c>
      <c r="I951" s="287" t="s">
        <v>2975</v>
      </c>
      <c r="J951" s="759"/>
    </row>
    <row r="952" spans="1:10" x14ac:dyDescent="0.2">
      <c r="A952" s="944">
        <v>39049001500</v>
      </c>
      <c r="B952" s="239" t="s">
        <v>970</v>
      </c>
      <c r="C952" s="286" t="s">
        <v>4330</v>
      </c>
      <c r="D952" s="865" t="s">
        <v>4330</v>
      </c>
      <c r="E952" s="287" t="s">
        <v>3557</v>
      </c>
      <c r="F952" s="287" t="s">
        <v>5177</v>
      </c>
      <c r="G952" s="288" t="s">
        <v>3553</v>
      </c>
      <c r="H952" s="287">
        <v>45349</v>
      </c>
      <c r="I952" s="287" t="s">
        <v>2975</v>
      </c>
      <c r="J952" s="759"/>
    </row>
    <row r="953" spans="1:10" x14ac:dyDescent="0.2">
      <c r="A953" s="944">
        <v>39049001600</v>
      </c>
      <c r="B953" s="239" t="s">
        <v>971</v>
      </c>
      <c r="C953" s="286" t="s">
        <v>4330</v>
      </c>
      <c r="D953" s="865" t="s">
        <v>4330</v>
      </c>
      <c r="E953" s="287" t="s">
        <v>3562</v>
      </c>
      <c r="F953" s="287" t="s">
        <v>5177</v>
      </c>
      <c r="G953" s="288" t="s">
        <v>3553</v>
      </c>
      <c r="H953" s="287">
        <v>45350</v>
      </c>
      <c r="I953" s="287" t="s">
        <v>2975</v>
      </c>
      <c r="J953" s="759"/>
    </row>
    <row r="954" spans="1:10" x14ac:dyDescent="0.2">
      <c r="A954" s="944">
        <v>39049001700</v>
      </c>
      <c r="B954" s="239" t="s">
        <v>972</v>
      </c>
      <c r="C954" s="286" t="s">
        <v>4330</v>
      </c>
      <c r="D954" s="865" t="s">
        <v>4330</v>
      </c>
      <c r="E954" s="287" t="s">
        <v>3562</v>
      </c>
      <c r="F954" s="287" t="s">
        <v>3561</v>
      </c>
      <c r="G954" s="288" t="s">
        <v>3553</v>
      </c>
      <c r="H954" s="287">
        <v>45351</v>
      </c>
      <c r="I954" s="287" t="s">
        <v>2975</v>
      </c>
      <c r="J954" s="759"/>
    </row>
    <row r="955" spans="1:10" x14ac:dyDescent="0.2">
      <c r="A955" s="944">
        <v>39049001810</v>
      </c>
      <c r="B955" s="239" t="s">
        <v>973</v>
      </c>
      <c r="C955" s="286" t="s">
        <v>4330</v>
      </c>
      <c r="D955" s="865" t="s">
        <v>4330</v>
      </c>
      <c r="E955" s="287" t="s">
        <v>3562</v>
      </c>
      <c r="F955" s="287" t="s">
        <v>5177</v>
      </c>
      <c r="G955" s="288" t="s">
        <v>3553</v>
      </c>
      <c r="H955" s="287">
        <v>45352</v>
      </c>
      <c r="I955" s="287" t="s">
        <v>2975</v>
      </c>
      <c r="J955" s="759"/>
    </row>
    <row r="956" spans="1:10" x14ac:dyDescent="0.2">
      <c r="A956" s="944">
        <v>39049001820</v>
      </c>
      <c r="B956" s="239" t="s">
        <v>974</v>
      </c>
      <c r="C956" s="286" t="s">
        <v>2975</v>
      </c>
      <c r="D956" s="865" t="s">
        <v>2975</v>
      </c>
      <c r="E956" s="287" t="s">
        <v>3562</v>
      </c>
      <c r="F956" s="287" t="s">
        <v>3559</v>
      </c>
      <c r="G956" s="288" t="s">
        <v>3553</v>
      </c>
      <c r="H956" s="287">
        <v>45353</v>
      </c>
      <c r="I956" s="287" t="s">
        <v>2975</v>
      </c>
      <c r="J956" s="759"/>
    </row>
    <row r="957" spans="1:10" x14ac:dyDescent="0.2">
      <c r="A957" s="944">
        <v>39049001901</v>
      </c>
      <c r="B957" s="239" t="s">
        <v>975</v>
      </c>
      <c r="C957" s="286" t="s">
        <v>2975</v>
      </c>
      <c r="D957" s="865" t="s">
        <v>2975</v>
      </c>
      <c r="E957" s="287" t="s">
        <v>3562</v>
      </c>
      <c r="F957" s="287" t="s">
        <v>3559</v>
      </c>
      <c r="G957" s="288" t="s">
        <v>3553</v>
      </c>
      <c r="H957" s="287">
        <v>45354</v>
      </c>
      <c r="I957" s="287" t="s">
        <v>2975</v>
      </c>
      <c r="J957" s="759"/>
    </row>
    <row r="958" spans="1:10" x14ac:dyDescent="0.2">
      <c r="A958" s="944">
        <v>39049001902</v>
      </c>
      <c r="B958" s="239" t="s">
        <v>976</v>
      </c>
      <c r="C958" s="286" t="s">
        <v>2975</v>
      </c>
      <c r="D958" s="865" t="s">
        <v>2975</v>
      </c>
      <c r="E958" s="287" t="s">
        <v>3562</v>
      </c>
      <c r="F958" s="287" t="s">
        <v>5177</v>
      </c>
      <c r="G958" s="288" t="s">
        <v>3553</v>
      </c>
      <c r="H958" s="287">
        <v>45356</v>
      </c>
      <c r="I958" s="287" t="s">
        <v>2975</v>
      </c>
      <c r="J958" s="759"/>
    </row>
    <row r="959" spans="1:10" x14ac:dyDescent="0.2">
      <c r="A959" s="944">
        <v>39049002000</v>
      </c>
      <c r="B959" s="239" t="s">
        <v>977</v>
      </c>
      <c r="C959" s="286" t="s">
        <v>2975</v>
      </c>
      <c r="D959" s="865" t="s">
        <v>2975</v>
      </c>
      <c r="E959" s="287" t="s">
        <v>3562</v>
      </c>
      <c r="F959" s="287" t="s">
        <v>3559</v>
      </c>
      <c r="G959" s="288" t="s">
        <v>3553</v>
      </c>
      <c r="H959" s="287">
        <v>45358</v>
      </c>
      <c r="I959" s="287" t="s">
        <v>2975</v>
      </c>
      <c r="J959" s="759"/>
    </row>
    <row r="960" spans="1:10" x14ac:dyDescent="0.2">
      <c r="A960" s="944">
        <v>39049002100</v>
      </c>
      <c r="B960" s="239" t="s">
        <v>978</v>
      </c>
      <c r="C960" s="286" t="s">
        <v>2975</v>
      </c>
      <c r="D960" s="865" t="s">
        <v>2975</v>
      </c>
      <c r="E960" s="287" t="s">
        <v>3562</v>
      </c>
      <c r="F960" s="287" t="s">
        <v>5177</v>
      </c>
      <c r="G960" s="288" t="s">
        <v>3553</v>
      </c>
      <c r="H960" s="287">
        <v>45359</v>
      </c>
      <c r="I960" s="287" t="s">
        <v>2975</v>
      </c>
      <c r="J960" s="759"/>
    </row>
    <row r="961" spans="1:10" x14ac:dyDescent="0.2">
      <c r="A961" s="944">
        <v>39049002200</v>
      </c>
      <c r="B961" s="239" t="s">
        <v>979</v>
      </c>
      <c r="C961" s="286" t="s">
        <v>2975</v>
      </c>
      <c r="D961" s="865" t="s">
        <v>2975</v>
      </c>
      <c r="E961" s="287" t="s">
        <v>3562</v>
      </c>
      <c r="F961" s="287" t="s">
        <v>5177</v>
      </c>
      <c r="G961" s="288" t="s">
        <v>3553</v>
      </c>
      <c r="H961" s="287">
        <v>45360</v>
      </c>
      <c r="I961" s="287" t="s">
        <v>2975</v>
      </c>
      <c r="J961" s="759"/>
    </row>
    <row r="962" spans="1:10" x14ac:dyDescent="0.2">
      <c r="A962" s="944">
        <v>39049002300</v>
      </c>
      <c r="B962" s="239" t="s">
        <v>980</v>
      </c>
      <c r="C962" s="286" t="s">
        <v>4330</v>
      </c>
      <c r="D962" s="865" t="s">
        <v>4330</v>
      </c>
      <c r="E962" s="287" t="s">
        <v>3564</v>
      </c>
      <c r="F962" s="287" t="s">
        <v>5177</v>
      </c>
      <c r="G962" s="288" t="s">
        <v>3553</v>
      </c>
      <c r="H962" s="287">
        <v>45361</v>
      </c>
      <c r="I962" s="287" t="s">
        <v>2975</v>
      </c>
      <c r="J962" s="759"/>
    </row>
    <row r="963" spans="1:10" x14ac:dyDescent="0.2">
      <c r="A963" s="944">
        <v>39049002510</v>
      </c>
      <c r="B963" s="239" t="s">
        <v>981</v>
      </c>
      <c r="C963" s="286" t="s">
        <v>4330</v>
      </c>
      <c r="D963" s="865" t="s">
        <v>4330</v>
      </c>
      <c r="E963" s="287" t="s">
        <v>3557</v>
      </c>
      <c r="F963" s="287" t="s">
        <v>3559</v>
      </c>
      <c r="G963" s="288" t="s">
        <v>3569</v>
      </c>
      <c r="H963" s="287">
        <v>45362</v>
      </c>
      <c r="I963" s="287" t="s">
        <v>2975</v>
      </c>
      <c r="J963" s="759"/>
    </row>
    <row r="964" spans="1:10" x14ac:dyDescent="0.2">
      <c r="A964" s="944">
        <v>39049002520</v>
      </c>
      <c r="B964" s="239" t="s">
        <v>982</v>
      </c>
      <c r="C964" s="286" t="s">
        <v>4330</v>
      </c>
      <c r="D964" s="865" t="s">
        <v>4330</v>
      </c>
      <c r="E964" s="287" t="s">
        <v>3566</v>
      </c>
      <c r="F964" s="287" t="s">
        <v>5177</v>
      </c>
      <c r="G964" s="288" t="s">
        <v>3553</v>
      </c>
      <c r="H964" s="287">
        <v>45363</v>
      </c>
      <c r="I964" s="287" t="s">
        <v>2975</v>
      </c>
      <c r="J964" s="759"/>
    </row>
    <row r="965" spans="1:10" x14ac:dyDescent="0.2">
      <c r="A965" s="944">
        <v>39049002600</v>
      </c>
      <c r="B965" s="239" t="s">
        <v>983</v>
      </c>
      <c r="C965" s="286" t="s">
        <v>4330</v>
      </c>
      <c r="D965" s="865" t="s">
        <v>4330</v>
      </c>
      <c r="E965" s="287" t="s">
        <v>3557</v>
      </c>
      <c r="F965" s="287" t="s">
        <v>5176</v>
      </c>
      <c r="G965" s="288" t="s">
        <v>3569</v>
      </c>
      <c r="H965" s="287">
        <v>45365</v>
      </c>
      <c r="I965" s="287" t="s">
        <v>2975</v>
      </c>
      <c r="J965" s="759"/>
    </row>
    <row r="966" spans="1:10" x14ac:dyDescent="0.2">
      <c r="A966" s="944">
        <v>39049002710</v>
      </c>
      <c r="B966" s="239" t="s">
        <v>984</v>
      </c>
      <c r="C966" s="286" t="s">
        <v>4330</v>
      </c>
      <c r="D966" s="865" t="s">
        <v>4330</v>
      </c>
      <c r="E966" s="287" t="s">
        <v>3557</v>
      </c>
      <c r="F966" s="287" t="s">
        <v>3559</v>
      </c>
      <c r="G966" s="288" t="s">
        <v>3569</v>
      </c>
      <c r="H966" s="287">
        <v>45368</v>
      </c>
      <c r="I966" s="287" t="s">
        <v>2975</v>
      </c>
      <c r="J966" s="759"/>
    </row>
    <row r="967" spans="1:10" x14ac:dyDescent="0.2">
      <c r="A967" s="944">
        <v>39049002730</v>
      </c>
      <c r="B967" s="239" t="s">
        <v>985</v>
      </c>
      <c r="C967" s="286" t="s">
        <v>4330</v>
      </c>
      <c r="D967" s="865" t="s">
        <v>4330</v>
      </c>
      <c r="E967" s="287" t="s">
        <v>3557</v>
      </c>
      <c r="F967" s="287" t="s">
        <v>3558</v>
      </c>
      <c r="G967" s="288" t="s">
        <v>3569</v>
      </c>
      <c r="H967" s="287">
        <v>45369</v>
      </c>
      <c r="I967" s="287" t="s">
        <v>2975</v>
      </c>
      <c r="J967" s="759"/>
    </row>
    <row r="968" spans="1:10" x14ac:dyDescent="0.2">
      <c r="A968" s="944">
        <v>39049002740</v>
      </c>
      <c r="B968" s="239" t="s">
        <v>986</v>
      </c>
      <c r="C968" s="286" t="s">
        <v>2975</v>
      </c>
      <c r="D968" s="865" t="s">
        <v>2975</v>
      </c>
      <c r="E968" s="287" t="s">
        <v>3563</v>
      </c>
      <c r="F968" s="287" t="s">
        <v>3559</v>
      </c>
      <c r="G968" s="288" t="s">
        <v>3569</v>
      </c>
      <c r="H968" s="287">
        <v>45370</v>
      </c>
      <c r="I968" s="287" t="s">
        <v>2975</v>
      </c>
      <c r="J968" s="759"/>
    </row>
    <row r="969" spans="1:10" x14ac:dyDescent="0.2">
      <c r="A969" s="944">
        <v>39049002750</v>
      </c>
      <c r="B969" s="239" t="s">
        <v>987</v>
      </c>
      <c r="C969" s="286" t="s">
        <v>4330</v>
      </c>
      <c r="D969" s="865" t="s">
        <v>4330</v>
      </c>
      <c r="E969" s="287" t="s">
        <v>3557</v>
      </c>
      <c r="F969" s="287" t="s">
        <v>3558</v>
      </c>
      <c r="G969" s="288" t="s">
        <v>3569</v>
      </c>
      <c r="H969" s="287">
        <v>45371</v>
      </c>
      <c r="I969" s="287" t="s">
        <v>2975</v>
      </c>
      <c r="J969" s="759"/>
    </row>
    <row r="970" spans="1:10" x14ac:dyDescent="0.2">
      <c r="A970" s="944">
        <v>39049002760</v>
      </c>
      <c r="B970" s="239" t="s">
        <v>988</v>
      </c>
      <c r="C970" s="286" t="s">
        <v>2975</v>
      </c>
      <c r="D970" s="865" t="s">
        <v>2975</v>
      </c>
      <c r="E970" s="287" t="s">
        <v>3557</v>
      </c>
      <c r="F970" s="287" t="s">
        <v>3558</v>
      </c>
      <c r="G970" s="288" t="s">
        <v>3569</v>
      </c>
      <c r="H970" s="287">
        <v>45372</v>
      </c>
      <c r="I970" s="287" t="s">
        <v>2975</v>
      </c>
      <c r="J970" s="759"/>
    </row>
    <row r="971" spans="1:10" x14ac:dyDescent="0.2">
      <c r="A971" s="944">
        <v>39049002770</v>
      </c>
      <c r="B971" s="239" t="s">
        <v>989</v>
      </c>
      <c r="C971" s="286" t="s">
        <v>4330</v>
      </c>
      <c r="D971" s="865" t="s">
        <v>4330</v>
      </c>
      <c r="E971" s="287" t="s">
        <v>3557</v>
      </c>
      <c r="F971" s="287" t="s">
        <v>3558</v>
      </c>
      <c r="G971" s="288" t="s">
        <v>3569</v>
      </c>
      <c r="H971" s="287">
        <v>45373</v>
      </c>
      <c r="I971" s="287" t="s">
        <v>2975</v>
      </c>
      <c r="J971" s="759"/>
    </row>
    <row r="972" spans="1:10" x14ac:dyDescent="0.2">
      <c r="A972" s="944">
        <v>39049002780</v>
      </c>
      <c r="B972" s="239" t="s">
        <v>990</v>
      </c>
      <c r="C972" s="286" t="s">
        <v>2975</v>
      </c>
      <c r="D972" s="865" t="s">
        <v>2975</v>
      </c>
      <c r="E972" s="287" t="s">
        <v>3562</v>
      </c>
      <c r="F972" s="287" t="s">
        <v>5177</v>
      </c>
      <c r="G972" s="288" t="s">
        <v>3569</v>
      </c>
      <c r="H972" s="287">
        <v>45377</v>
      </c>
      <c r="I972" s="287" t="s">
        <v>2975</v>
      </c>
      <c r="J972" s="759"/>
    </row>
    <row r="973" spans="1:10" x14ac:dyDescent="0.2">
      <c r="A973" s="944">
        <v>39049002800</v>
      </c>
      <c r="B973" s="239" t="s">
        <v>991</v>
      </c>
      <c r="C973" s="286" t="s">
        <v>4330</v>
      </c>
      <c r="D973" s="865" t="s">
        <v>4330</v>
      </c>
      <c r="E973" s="287" t="s">
        <v>3564</v>
      </c>
      <c r="F973" s="287" t="s">
        <v>3559</v>
      </c>
      <c r="G973" s="288" t="s">
        <v>3553</v>
      </c>
      <c r="H973" s="287">
        <v>45378</v>
      </c>
      <c r="I973" s="287" t="s">
        <v>2975</v>
      </c>
      <c r="J973" s="759"/>
    </row>
    <row r="974" spans="1:10" x14ac:dyDescent="0.2">
      <c r="A974" s="944">
        <v>39049002900</v>
      </c>
      <c r="B974" s="239" t="s">
        <v>992</v>
      </c>
      <c r="C974" s="286" t="s">
        <v>4330</v>
      </c>
      <c r="D974" s="865" t="s">
        <v>4330</v>
      </c>
      <c r="E974" s="287" t="s">
        <v>3557</v>
      </c>
      <c r="F974" s="287" t="s">
        <v>3565</v>
      </c>
      <c r="G974" s="288" t="s">
        <v>3553</v>
      </c>
      <c r="H974" s="287">
        <v>45380</v>
      </c>
      <c r="I974" s="287" t="s">
        <v>2975</v>
      </c>
      <c r="J974" s="759"/>
    </row>
    <row r="975" spans="1:10" x14ac:dyDescent="0.2">
      <c r="A975" s="944">
        <v>39049003000</v>
      </c>
      <c r="B975" s="239" t="s">
        <v>993</v>
      </c>
      <c r="C975" s="286" t="s">
        <v>2975</v>
      </c>
      <c r="D975" s="865" t="s">
        <v>2975</v>
      </c>
      <c r="E975" s="287" t="s">
        <v>3562</v>
      </c>
      <c r="F975" s="287" t="s">
        <v>5177</v>
      </c>
      <c r="G975" s="288" t="s">
        <v>3553</v>
      </c>
      <c r="H975" s="287">
        <v>45381</v>
      </c>
      <c r="I975" s="287" t="s">
        <v>2975</v>
      </c>
      <c r="J975" s="759"/>
    </row>
    <row r="976" spans="1:10" x14ac:dyDescent="0.2">
      <c r="A976" s="944">
        <v>39049003200</v>
      </c>
      <c r="B976" s="239" t="s">
        <v>994</v>
      </c>
      <c r="C976" s="286" t="s">
        <v>2975</v>
      </c>
      <c r="D976" s="865" t="s">
        <v>2975</v>
      </c>
      <c r="E976" s="287" t="s">
        <v>3562</v>
      </c>
      <c r="F976" s="287" t="s">
        <v>5177</v>
      </c>
      <c r="G976" s="288" t="s">
        <v>3553</v>
      </c>
      <c r="H976" s="287">
        <v>45382</v>
      </c>
      <c r="I976" s="287" t="s">
        <v>2975</v>
      </c>
      <c r="J976" s="759"/>
    </row>
    <row r="977" spans="1:10" x14ac:dyDescent="0.2">
      <c r="A977" s="944">
        <v>39049003600</v>
      </c>
      <c r="B977" s="239" t="s">
        <v>995</v>
      </c>
      <c r="C977" s="286" t="s">
        <v>2975</v>
      </c>
      <c r="D977" s="865" t="s">
        <v>2975</v>
      </c>
      <c r="E977" s="287" t="s">
        <v>3566</v>
      </c>
      <c r="F977" s="287" t="s">
        <v>5177</v>
      </c>
      <c r="G977" s="288" t="s">
        <v>3553</v>
      </c>
      <c r="H977" s="287">
        <v>45383</v>
      </c>
      <c r="I977" s="287" t="s">
        <v>2975</v>
      </c>
      <c r="J977" s="759"/>
    </row>
    <row r="978" spans="1:10" x14ac:dyDescent="0.2">
      <c r="A978" s="944">
        <v>39049003700</v>
      </c>
      <c r="B978" s="239" t="s">
        <v>996</v>
      </c>
      <c r="C978" s="286" t="s">
        <v>4330</v>
      </c>
      <c r="D978" s="865" t="s">
        <v>4330</v>
      </c>
      <c r="E978" s="287" t="s">
        <v>3563</v>
      </c>
      <c r="F978" s="287" t="s">
        <v>5177</v>
      </c>
      <c r="G978" s="288" t="s">
        <v>3553</v>
      </c>
      <c r="H978" s="287">
        <v>45384</v>
      </c>
      <c r="I978" s="287" t="s">
        <v>2975</v>
      </c>
      <c r="J978" s="759"/>
    </row>
    <row r="979" spans="1:10" x14ac:dyDescent="0.2">
      <c r="A979" s="944">
        <v>39049003800</v>
      </c>
      <c r="B979" s="239" t="s">
        <v>997</v>
      </c>
      <c r="C979" s="286" t="s">
        <v>4330</v>
      </c>
      <c r="D979" s="865" t="s">
        <v>2975</v>
      </c>
      <c r="E979" s="287" t="s">
        <v>3563</v>
      </c>
      <c r="F979" s="287" t="s">
        <v>3558</v>
      </c>
      <c r="G979" s="288" t="s">
        <v>3553</v>
      </c>
      <c r="H979" s="287">
        <v>45385</v>
      </c>
      <c r="I979" s="287" t="s">
        <v>2975</v>
      </c>
      <c r="J979" s="759"/>
    </row>
    <row r="980" spans="1:10" x14ac:dyDescent="0.2">
      <c r="A980" s="944">
        <v>39049004000</v>
      </c>
      <c r="B980" s="239" t="s">
        <v>998</v>
      </c>
      <c r="C980" s="286" t="s">
        <v>4330</v>
      </c>
      <c r="D980" s="865" t="s">
        <v>4330</v>
      </c>
      <c r="E980" s="287" t="s">
        <v>3562</v>
      </c>
      <c r="F980" s="287" t="s">
        <v>5177</v>
      </c>
      <c r="G980" s="288" t="s">
        <v>3553</v>
      </c>
      <c r="H980" s="287">
        <v>45387</v>
      </c>
      <c r="I980" s="287" t="s">
        <v>2975</v>
      </c>
      <c r="J980" s="759"/>
    </row>
    <row r="981" spans="1:10" x14ac:dyDescent="0.2">
      <c r="A981" s="944">
        <v>39049004200</v>
      </c>
      <c r="B981" s="239" t="s">
        <v>999</v>
      </c>
      <c r="C981" s="286" t="s">
        <v>4330</v>
      </c>
      <c r="D981" s="865" t="s">
        <v>4330</v>
      </c>
      <c r="E981" s="287" t="s">
        <v>3557</v>
      </c>
      <c r="F981" s="287" t="s">
        <v>3561</v>
      </c>
      <c r="G981" s="288" t="s">
        <v>3553</v>
      </c>
      <c r="H981" s="287">
        <v>45388</v>
      </c>
      <c r="I981" s="287" t="s">
        <v>2975</v>
      </c>
      <c r="J981" s="759"/>
    </row>
    <row r="982" spans="1:10" x14ac:dyDescent="0.2">
      <c r="A982" s="944">
        <v>39049004300</v>
      </c>
      <c r="B982" s="239" t="s">
        <v>1000</v>
      </c>
      <c r="C982" s="286" t="s">
        <v>2975</v>
      </c>
      <c r="D982" s="865" t="s">
        <v>2975</v>
      </c>
      <c r="E982" s="287" t="s">
        <v>3563</v>
      </c>
      <c r="F982" s="287" t="s">
        <v>5177</v>
      </c>
      <c r="G982" s="288" t="s">
        <v>3569</v>
      </c>
      <c r="H982" s="287">
        <v>45389</v>
      </c>
      <c r="I982" s="287" t="s">
        <v>2975</v>
      </c>
      <c r="J982" s="759"/>
    </row>
    <row r="983" spans="1:10" x14ac:dyDescent="0.2">
      <c r="A983" s="944">
        <v>39049004500</v>
      </c>
      <c r="B983" s="239" t="s">
        <v>1001</v>
      </c>
      <c r="C983" s="286" t="s">
        <v>4330</v>
      </c>
      <c r="D983" s="865" t="s">
        <v>4330</v>
      </c>
      <c r="E983" s="287" t="s">
        <v>3564</v>
      </c>
      <c r="F983" s="287" t="s">
        <v>3565</v>
      </c>
      <c r="G983" s="288" t="s">
        <v>3553</v>
      </c>
      <c r="H983" s="287">
        <v>45390</v>
      </c>
      <c r="I983" s="287" t="s">
        <v>2975</v>
      </c>
      <c r="J983" s="759"/>
    </row>
    <row r="984" spans="1:10" x14ac:dyDescent="0.2">
      <c r="A984" s="944">
        <v>39049004610</v>
      </c>
      <c r="B984" s="239" t="s">
        <v>1002</v>
      </c>
      <c r="C984" s="286" t="s">
        <v>2975</v>
      </c>
      <c r="D984" s="865" t="s">
        <v>2975</v>
      </c>
      <c r="E984" s="287" t="s">
        <v>3562</v>
      </c>
      <c r="F984" s="287" t="s">
        <v>3559</v>
      </c>
      <c r="G984" s="288" t="s">
        <v>3553</v>
      </c>
      <c r="H984" s="287">
        <v>45402</v>
      </c>
      <c r="I984" s="287" t="s">
        <v>2975</v>
      </c>
      <c r="J984" s="759"/>
    </row>
    <row r="985" spans="1:10" x14ac:dyDescent="0.2">
      <c r="A985" s="944">
        <v>39049004620</v>
      </c>
      <c r="B985" s="239" t="s">
        <v>1003</v>
      </c>
      <c r="C985" s="286" t="s">
        <v>4330</v>
      </c>
      <c r="D985" s="865" t="s">
        <v>4330</v>
      </c>
      <c r="E985" s="287" t="s">
        <v>3557</v>
      </c>
      <c r="F985" s="287" t="s">
        <v>3565</v>
      </c>
      <c r="G985" s="288" t="s">
        <v>3553</v>
      </c>
      <c r="H985" s="287">
        <v>45403</v>
      </c>
      <c r="I985" s="287" t="s">
        <v>2975</v>
      </c>
      <c r="J985" s="759"/>
    </row>
    <row r="986" spans="1:10" x14ac:dyDescent="0.2">
      <c r="A986" s="944">
        <v>39049004700</v>
      </c>
      <c r="B986" s="239" t="s">
        <v>1004</v>
      </c>
      <c r="C986" s="286" t="s">
        <v>4330</v>
      </c>
      <c r="D986" s="865" t="s">
        <v>4330</v>
      </c>
      <c r="E986" s="287" t="s">
        <v>3564</v>
      </c>
      <c r="F986" s="287" t="s">
        <v>3559</v>
      </c>
      <c r="G986" s="288" t="s">
        <v>3553</v>
      </c>
      <c r="H986" s="287">
        <v>45404</v>
      </c>
      <c r="I986" s="287" t="s">
        <v>2975</v>
      </c>
      <c r="J986" s="759"/>
    </row>
    <row r="987" spans="1:10" x14ac:dyDescent="0.2">
      <c r="A987" s="944">
        <v>39049004810</v>
      </c>
      <c r="B987" s="239" t="s">
        <v>1005</v>
      </c>
      <c r="C987" s="286" t="s">
        <v>2975</v>
      </c>
      <c r="D987" s="865" t="s">
        <v>2975</v>
      </c>
      <c r="E987" s="287" t="s">
        <v>3563</v>
      </c>
      <c r="F987" s="287" t="s">
        <v>3559</v>
      </c>
      <c r="G987" s="288" t="s">
        <v>3553</v>
      </c>
      <c r="H987" s="287">
        <v>45405</v>
      </c>
      <c r="I987" s="287" t="s">
        <v>2975</v>
      </c>
      <c r="J987" s="759"/>
    </row>
    <row r="988" spans="1:10" x14ac:dyDescent="0.2">
      <c r="A988" s="944">
        <v>39049004820</v>
      </c>
      <c r="B988" s="239" t="s">
        <v>1006</v>
      </c>
      <c r="C988" s="286" t="s">
        <v>4330</v>
      </c>
      <c r="D988" s="865" t="s">
        <v>4330</v>
      </c>
      <c r="E988" s="287" t="s">
        <v>3566</v>
      </c>
      <c r="F988" s="287" t="s">
        <v>3559</v>
      </c>
      <c r="G988" s="288" t="s">
        <v>3553</v>
      </c>
      <c r="H988" s="287">
        <v>45406</v>
      </c>
      <c r="I988" s="287" t="s">
        <v>2975</v>
      </c>
      <c r="J988" s="759"/>
    </row>
    <row r="989" spans="1:10" x14ac:dyDescent="0.2">
      <c r="A989" s="944">
        <v>39049004900</v>
      </c>
      <c r="B989" s="239" t="s">
        <v>1007</v>
      </c>
      <c r="C989" s="286" t="s">
        <v>4330</v>
      </c>
      <c r="D989" s="865" t="s">
        <v>4330</v>
      </c>
      <c r="E989" s="287" t="s">
        <v>3566</v>
      </c>
      <c r="F989" s="287" t="s">
        <v>3558</v>
      </c>
      <c r="G989" s="288" t="s">
        <v>3553</v>
      </c>
      <c r="H989" s="287">
        <v>45409</v>
      </c>
      <c r="I989" s="287" t="s">
        <v>2975</v>
      </c>
      <c r="J989" s="759"/>
    </row>
    <row r="990" spans="1:10" x14ac:dyDescent="0.2">
      <c r="A990" s="944">
        <v>39049005000</v>
      </c>
      <c r="B990" s="239" t="s">
        <v>1008</v>
      </c>
      <c r="C990" s="286" t="s">
        <v>4330</v>
      </c>
      <c r="D990" s="865" t="s">
        <v>4330</v>
      </c>
      <c r="E990" s="287" t="s">
        <v>3564</v>
      </c>
      <c r="F990" s="287" t="s">
        <v>5177</v>
      </c>
      <c r="G990" s="288" t="s">
        <v>3553</v>
      </c>
      <c r="H990" s="287">
        <v>45410</v>
      </c>
      <c r="I990" s="287" t="s">
        <v>2975</v>
      </c>
      <c r="J990" s="759"/>
    </row>
    <row r="991" spans="1:10" x14ac:dyDescent="0.2">
      <c r="A991" s="944">
        <v>39049005100</v>
      </c>
      <c r="B991" s="239" t="s">
        <v>1009</v>
      </c>
      <c r="C991" s="286" t="s">
        <v>4330</v>
      </c>
      <c r="D991" s="865" t="s">
        <v>4330</v>
      </c>
      <c r="E991" s="287" t="s">
        <v>3557</v>
      </c>
      <c r="F991" s="287" t="s">
        <v>5176</v>
      </c>
      <c r="G991" s="288" t="s">
        <v>3569</v>
      </c>
      <c r="H991" s="287">
        <v>45414</v>
      </c>
      <c r="I991" s="287" t="s">
        <v>2975</v>
      </c>
      <c r="J991" s="759"/>
    </row>
    <row r="992" spans="1:10" x14ac:dyDescent="0.2">
      <c r="A992" s="944">
        <v>39049005200</v>
      </c>
      <c r="B992" s="239" t="s">
        <v>1010</v>
      </c>
      <c r="C992" s="286" t="s">
        <v>2975</v>
      </c>
      <c r="D992" s="865" t="s">
        <v>2975</v>
      </c>
      <c r="E992" s="287" t="s">
        <v>3562</v>
      </c>
      <c r="F992" s="287" t="s">
        <v>5177</v>
      </c>
      <c r="G992" s="288" t="s">
        <v>3553</v>
      </c>
      <c r="H992" s="287">
        <v>45415</v>
      </c>
      <c r="I992" s="287" t="s">
        <v>2975</v>
      </c>
      <c r="J992" s="759"/>
    </row>
    <row r="993" spans="1:10" x14ac:dyDescent="0.2">
      <c r="A993" s="944">
        <v>39049005300</v>
      </c>
      <c r="B993" s="239" t="s">
        <v>1011</v>
      </c>
      <c r="C993" s="286" t="s">
        <v>4330</v>
      </c>
      <c r="D993" s="865" t="s">
        <v>4330</v>
      </c>
      <c r="E993" s="287" t="s">
        <v>3563</v>
      </c>
      <c r="F993" s="287" t="s">
        <v>5177</v>
      </c>
      <c r="G993" s="288" t="s">
        <v>3553</v>
      </c>
      <c r="H993" s="287">
        <v>45416</v>
      </c>
      <c r="I993" s="287" t="s">
        <v>2975</v>
      </c>
      <c r="J993" s="759"/>
    </row>
    <row r="994" spans="1:10" x14ac:dyDescent="0.2">
      <c r="A994" s="944">
        <v>39049005410</v>
      </c>
      <c r="B994" s="239" t="s">
        <v>1012</v>
      </c>
      <c r="C994" s="286" t="s">
        <v>4330</v>
      </c>
      <c r="D994" s="865" t="s">
        <v>4330</v>
      </c>
      <c r="E994" s="287" t="s">
        <v>3557</v>
      </c>
      <c r="F994" s="287" t="s">
        <v>5176</v>
      </c>
      <c r="G994" s="288" t="s">
        <v>3553</v>
      </c>
      <c r="H994" s="287">
        <v>45417</v>
      </c>
      <c r="I994" s="287" t="s">
        <v>2975</v>
      </c>
      <c r="J994" s="759"/>
    </row>
    <row r="995" spans="1:10" x14ac:dyDescent="0.2">
      <c r="A995" s="944">
        <v>39049005420</v>
      </c>
      <c r="B995" s="239" t="s">
        <v>1013</v>
      </c>
      <c r="C995" s="286" t="s">
        <v>4330</v>
      </c>
      <c r="D995" s="865" t="s">
        <v>4330</v>
      </c>
      <c r="E995" s="287" t="s">
        <v>3566</v>
      </c>
      <c r="F995" s="287" t="s">
        <v>3559</v>
      </c>
      <c r="G995" s="288" t="s">
        <v>3553</v>
      </c>
      <c r="H995" s="287">
        <v>45418</v>
      </c>
      <c r="I995" s="287" t="s">
        <v>2975</v>
      </c>
      <c r="J995" s="759"/>
    </row>
    <row r="996" spans="1:10" x14ac:dyDescent="0.2">
      <c r="A996" s="944">
        <v>39049005500</v>
      </c>
      <c r="B996" s="239" t="s">
        <v>1014</v>
      </c>
      <c r="C996" s="286" t="s">
        <v>4330</v>
      </c>
      <c r="D996" s="865" t="s">
        <v>4330</v>
      </c>
      <c r="E996" s="287" t="s">
        <v>3566</v>
      </c>
      <c r="F996" s="287" t="s">
        <v>5176</v>
      </c>
      <c r="G996" s="288" t="s">
        <v>3553</v>
      </c>
      <c r="H996" s="287">
        <v>45419</v>
      </c>
      <c r="I996" s="287" t="s">
        <v>2975</v>
      </c>
      <c r="J996" s="759"/>
    </row>
    <row r="997" spans="1:10" x14ac:dyDescent="0.2">
      <c r="A997" s="944">
        <v>39049005610</v>
      </c>
      <c r="B997" s="239" t="s">
        <v>1015</v>
      </c>
      <c r="C997" s="286" t="s">
        <v>4330</v>
      </c>
      <c r="D997" s="865" t="s">
        <v>4330</v>
      </c>
      <c r="E997" s="287" t="s">
        <v>3566</v>
      </c>
      <c r="F997" s="287" t="s">
        <v>5177</v>
      </c>
      <c r="G997" s="288" t="s">
        <v>3553</v>
      </c>
      <c r="H997" s="287">
        <v>45420</v>
      </c>
      <c r="I997" s="287" t="s">
        <v>2975</v>
      </c>
      <c r="J997" s="759"/>
    </row>
    <row r="998" spans="1:10" x14ac:dyDescent="0.2">
      <c r="A998" s="944">
        <v>39049005620</v>
      </c>
      <c r="B998" s="239" t="s">
        <v>1016</v>
      </c>
      <c r="C998" s="286" t="s">
        <v>4330</v>
      </c>
      <c r="D998" s="865" t="s">
        <v>4330</v>
      </c>
      <c r="E998" s="287" t="s">
        <v>3563</v>
      </c>
      <c r="F998" s="287" t="s">
        <v>5177</v>
      </c>
      <c r="G998" s="288" t="s">
        <v>3553</v>
      </c>
      <c r="H998" s="287">
        <v>45424</v>
      </c>
      <c r="I998" s="287" t="s">
        <v>2975</v>
      </c>
      <c r="J998" s="759"/>
    </row>
    <row r="999" spans="1:10" x14ac:dyDescent="0.2">
      <c r="A999" s="944">
        <v>39049005700</v>
      </c>
      <c r="B999" s="239" t="s">
        <v>1017</v>
      </c>
      <c r="C999" s="286" t="s">
        <v>2975</v>
      </c>
      <c r="D999" s="865" t="s">
        <v>2975</v>
      </c>
      <c r="E999" s="287" t="s">
        <v>3562</v>
      </c>
      <c r="F999" s="287" t="s">
        <v>5177</v>
      </c>
      <c r="G999" s="288" t="s">
        <v>3553</v>
      </c>
      <c r="H999" s="287">
        <v>45426</v>
      </c>
      <c r="I999" s="287" t="s">
        <v>2975</v>
      </c>
      <c r="J999" s="759"/>
    </row>
    <row r="1000" spans="1:10" x14ac:dyDescent="0.2">
      <c r="A1000" s="944">
        <v>39049005810</v>
      </c>
      <c r="B1000" s="239" t="s">
        <v>1018</v>
      </c>
      <c r="C1000" s="286" t="s">
        <v>2975</v>
      </c>
      <c r="D1000" s="865" t="s">
        <v>2975</v>
      </c>
      <c r="E1000" s="287" t="s">
        <v>3562</v>
      </c>
      <c r="F1000" s="287" t="s">
        <v>5177</v>
      </c>
      <c r="G1000" s="288" t="s">
        <v>3553</v>
      </c>
      <c r="H1000" s="287">
        <v>45428</v>
      </c>
      <c r="I1000" s="287" t="s">
        <v>2975</v>
      </c>
      <c r="J1000" s="759"/>
    </row>
    <row r="1001" spans="1:10" x14ac:dyDescent="0.2">
      <c r="A1001" s="944">
        <v>39049005820</v>
      </c>
      <c r="B1001" s="239" t="s">
        <v>1019</v>
      </c>
      <c r="C1001" s="286" t="s">
        <v>2975</v>
      </c>
      <c r="D1001" s="865" t="s">
        <v>2975</v>
      </c>
      <c r="E1001" s="287" t="s">
        <v>3562</v>
      </c>
      <c r="F1001" s="287" t="s">
        <v>5177</v>
      </c>
      <c r="G1001" s="288" t="s">
        <v>3553</v>
      </c>
      <c r="H1001" s="287">
        <v>45429</v>
      </c>
      <c r="I1001" s="287" t="s">
        <v>2975</v>
      </c>
      <c r="J1001" s="759"/>
    </row>
    <row r="1002" spans="1:10" x14ac:dyDescent="0.2">
      <c r="A1002" s="944">
        <v>39049005900</v>
      </c>
      <c r="B1002" s="239" t="s">
        <v>1020</v>
      </c>
      <c r="C1002" s="286" t="s">
        <v>4330</v>
      </c>
      <c r="D1002" s="865" t="s">
        <v>4330</v>
      </c>
      <c r="E1002" s="287" t="s">
        <v>3564</v>
      </c>
      <c r="F1002" s="287" t="s">
        <v>5176</v>
      </c>
      <c r="G1002" s="288" t="s">
        <v>3553</v>
      </c>
      <c r="H1002" s="287">
        <v>45430</v>
      </c>
      <c r="I1002" s="287" t="s">
        <v>2975</v>
      </c>
      <c r="J1002" s="759"/>
    </row>
    <row r="1003" spans="1:10" x14ac:dyDescent="0.2">
      <c r="A1003" s="944">
        <v>39049006000</v>
      </c>
      <c r="B1003" s="239" t="s">
        <v>1021</v>
      </c>
      <c r="C1003" s="286" t="s">
        <v>4330</v>
      </c>
      <c r="D1003" s="865" t="s">
        <v>4330</v>
      </c>
      <c r="E1003" s="287" t="s">
        <v>3564</v>
      </c>
      <c r="F1003" s="287" t="s">
        <v>3558</v>
      </c>
      <c r="G1003" s="288" t="s">
        <v>3553</v>
      </c>
      <c r="H1003" s="287">
        <v>45431</v>
      </c>
      <c r="I1003" s="287" t="s">
        <v>2975</v>
      </c>
      <c r="J1003" s="759"/>
    </row>
    <row r="1004" spans="1:10" x14ac:dyDescent="0.2">
      <c r="A1004" s="944">
        <v>39049006100</v>
      </c>
      <c r="B1004" s="239" t="s">
        <v>1022</v>
      </c>
      <c r="C1004" s="286" t="s">
        <v>4330</v>
      </c>
      <c r="D1004" s="865" t="s">
        <v>4330</v>
      </c>
      <c r="E1004" s="287" t="s">
        <v>3564</v>
      </c>
      <c r="F1004" s="287" t="s">
        <v>3565</v>
      </c>
      <c r="G1004" s="288" t="s">
        <v>3553</v>
      </c>
      <c r="H1004" s="287">
        <v>45432</v>
      </c>
      <c r="I1004" s="287" t="s">
        <v>2975</v>
      </c>
      <c r="J1004" s="759"/>
    </row>
    <row r="1005" spans="1:10" x14ac:dyDescent="0.2">
      <c r="A1005" s="944">
        <v>39049006220</v>
      </c>
      <c r="B1005" s="239" t="s">
        <v>1023</v>
      </c>
      <c r="C1005" s="286" t="s">
        <v>2975</v>
      </c>
      <c r="D1005" s="865" t="s">
        <v>2975</v>
      </c>
      <c r="E1005" s="287" t="s">
        <v>3562</v>
      </c>
      <c r="F1005" s="287" t="s">
        <v>3559</v>
      </c>
      <c r="G1005" s="288" t="s">
        <v>3569</v>
      </c>
      <c r="H1005" s="287">
        <v>45433</v>
      </c>
      <c r="I1005" s="287" t="s">
        <v>2975</v>
      </c>
      <c r="J1005" s="759"/>
    </row>
    <row r="1006" spans="1:10" x14ac:dyDescent="0.2">
      <c r="A1006" s="944">
        <v>39049006230</v>
      </c>
      <c r="B1006" s="239" t="s">
        <v>1024</v>
      </c>
      <c r="C1006" s="286" t="s">
        <v>2975</v>
      </c>
      <c r="D1006" s="865" t="s">
        <v>2975</v>
      </c>
      <c r="E1006" s="287" t="s">
        <v>3562</v>
      </c>
      <c r="F1006" s="287" t="s">
        <v>5176</v>
      </c>
      <c r="G1006" s="288" t="s">
        <v>3569</v>
      </c>
      <c r="H1006" s="287">
        <v>45434</v>
      </c>
      <c r="I1006" s="287" t="s">
        <v>2975</v>
      </c>
      <c r="J1006" s="759"/>
    </row>
    <row r="1007" spans="1:10" x14ac:dyDescent="0.2">
      <c r="A1007" s="944">
        <v>39049006236</v>
      </c>
      <c r="B1007" s="239" t="s">
        <v>1025</v>
      </c>
      <c r="C1007" s="286" t="s">
        <v>2975</v>
      </c>
      <c r="D1007" s="865" t="s">
        <v>2975</v>
      </c>
      <c r="E1007" s="287" t="s">
        <v>3562</v>
      </c>
      <c r="F1007" s="287" t="s">
        <v>5177</v>
      </c>
      <c r="G1007" s="288" t="s">
        <v>3569</v>
      </c>
      <c r="H1007" s="287">
        <v>45439</v>
      </c>
      <c r="I1007" s="287" t="s">
        <v>2975</v>
      </c>
      <c r="J1007" s="759"/>
    </row>
    <row r="1008" spans="1:10" x14ac:dyDescent="0.2">
      <c r="A1008" s="944">
        <v>39049006310</v>
      </c>
      <c r="B1008" s="239" t="s">
        <v>1026</v>
      </c>
      <c r="C1008" s="286" t="s">
        <v>2975</v>
      </c>
      <c r="D1008" s="865" t="s">
        <v>2975</v>
      </c>
      <c r="E1008" s="287" t="s">
        <v>3562</v>
      </c>
      <c r="F1008" s="287" t="s">
        <v>3558</v>
      </c>
      <c r="G1008" s="288" t="s">
        <v>3569</v>
      </c>
      <c r="H1008" s="287">
        <v>45440</v>
      </c>
      <c r="I1008" s="287" t="s">
        <v>2975</v>
      </c>
      <c r="J1008" s="759"/>
    </row>
    <row r="1009" spans="1:10" x14ac:dyDescent="0.2">
      <c r="A1009" s="944">
        <v>39049006321</v>
      </c>
      <c r="B1009" s="239" t="s">
        <v>1027</v>
      </c>
      <c r="C1009" s="286" t="s">
        <v>2975</v>
      </c>
      <c r="D1009" s="865" t="s">
        <v>2975</v>
      </c>
      <c r="E1009" s="287" t="s">
        <v>3562</v>
      </c>
      <c r="F1009" s="287" t="s">
        <v>3558</v>
      </c>
      <c r="G1009" s="288" t="s">
        <v>3569</v>
      </c>
      <c r="H1009" s="287">
        <v>45449</v>
      </c>
      <c r="I1009" s="287" t="s">
        <v>2975</v>
      </c>
      <c r="J1009" s="759"/>
    </row>
    <row r="1010" spans="1:10" x14ac:dyDescent="0.2">
      <c r="A1010" s="944">
        <v>39049006323</v>
      </c>
      <c r="B1010" s="239" t="s">
        <v>1028</v>
      </c>
      <c r="C1010" s="286" t="s">
        <v>2975</v>
      </c>
      <c r="D1010" s="865" t="s">
        <v>2975</v>
      </c>
      <c r="E1010" s="287" t="s">
        <v>3562</v>
      </c>
      <c r="F1010" s="287" t="s">
        <v>5177</v>
      </c>
      <c r="G1010" s="288" t="s">
        <v>3569</v>
      </c>
      <c r="H1010" s="287">
        <v>45458</v>
      </c>
      <c r="I1010" s="287" t="s">
        <v>2975</v>
      </c>
      <c r="J1010" s="759"/>
    </row>
    <row r="1011" spans="1:10" x14ac:dyDescent="0.2">
      <c r="A1011" s="944">
        <v>39049006330</v>
      </c>
      <c r="B1011" s="239" t="s">
        <v>1029</v>
      </c>
      <c r="C1011" s="286" t="s">
        <v>2975</v>
      </c>
      <c r="D1011" s="865" t="s">
        <v>2975</v>
      </c>
      <c r="E1011" s="287" t="s">
        <v>3562</v>
      </c>
      <c r="F1011" s="287" t="s">
        <v>5177</v>
      </c>
      <c r="G1011" s="288" t="s">
        <v>3569</v>
      </c>
      <c r="H1011" s="287">
        <v>45459</v>
      </c>
      <c r="I1011" s="287" t="s">
        <v>2975</v>
      </c>
      <c r="J1011" s="759"/>
    </row>
    <row r="1012" spans="1:10" x14ac:dyDescent="0.2">
      <c r="A1012" s="944">
        <v>39049006340</v>
      </c>
      <c r="B1012" s="239" t="s">
        <v>1030</v>
      </c>
      <c r="C1012" s="286" t="s">
        <v>2975</v>
      </c>
      <c r="D1012" s="865" t="s">
        <v>2975</v>
      </c>
      <c r="E1012" s="287" t="s">
        <v>3562</v>
      </c>
      <c r="F1012" s="287" t="s">
        <v>3558</v>
      </c>
      <c r="G1012" s="288" t="s">
        <v>3569</v>
      </c>
      <c r="H1012" s="287">
        <v>45502</v>
      </c>
      <c r="I1012" s="287" t="s">
        <v>2975</v>
      </c>
      <c r="J1012" s="759"/>
    </row>
    <row r="1013" spans="1:10" x14ac:dyDescent="0.2">
      <c r="A1013" s="944">
        <v>39049006351</v>
      </c>
      <c r="B1013" s="239" t="s">
        <v>1031</v>
      </c>
      <c r="C1013" s="286" t="s">
        <v>2975</v>
      </c>
      <c r="D1013" s="865" t="s">
        <v>2975</v>
      </c>
      <c r="E1013" s="287" t="s">
        <v>3562</v>
      </c>
      <c r="F1013" s="287" t="s">
        <v>3559</v>
      </c>
      <c r="G1013" s="288" t="s">
        <v>3569</v>
      </c>
      <c r="H1013" s="287">
        <v>45503</v>
      </c>
      <c r="I1013" s="287" t="s">
        <v>2975</v>
      </c>
      <c r="J1013" s="759"/>
    </row>
    <row r="1014" spans="1:10" x14ac:dyDescent="0.2">
      <c r="A1014" s="944">
        <v>39049006352</v>
      </c>
      <c r="B1014" s="239" t="s">
        <v>1032</v>
      </c>
      <c r="C1014" s="286" t="s">
        <v>2975</v>
      </c>
      <c r="D1014" s="865" t="s">
        <v>2975</v>
      </c>
      <c r="E1014" s="287" t="s">
        <v>3563</v>
      </c>
      <c r="F1014" s="287" t="s">
        <v>5177</v>
      </c>
      <c r="G1014" s="288" t="s">
        <v>3569</v>
      </c>
      <c r="H1014" s="287">
        <v>45504</v>
      </c>
      <c r="I1014" s="287" t="s">
        <v>2975</v>
      </c>
      <c r="J1014" s="759"/>
    </row>
    <row r="1015" spans="1:10" x14ac:dyDescent="0.2">
      <c r="A1015" s="944">
        <v>39049006353</v>
      </c>
      <c r="B1015" s="239" t="s">
        <v>1033</v>
      </c>
      <c r="C1015" s="286" t="s">
        <v>2975</v>
      </c>
      <c r="D1015" s="865" t="s">
        <v>2975</v>
      </c>
      <c r="E1015" s="287" t="s">
        <v>3563</v>
      </c>
      <c r="F1015" s="287" t="s">
        <v>5176</v>
      </c>
      <c r="G1015" s="288" t="s">
        <v>3569</v>
      </c>
      <c r="H1015" s="287">
        <v>45505</v>
      </c>
      <c r="I1015" s="287" t="s">
        <v>2975</v>
      </c>
      <c r="J1015" s="759"/>
    </row>
    <row r="1016" spans="1:10" x14ac:dyDescent="0.2">
      <c r="A1016" s="944">
        <v>39049006371</v>
      </c>
      <c r="B1016" s="239" t="s">
        <v>1034</v>
      </c>
      <c r="C1016" s="286" t="s">
        <v>2975</v>
      </c>
      <c r="D1016" s="865" t="s">
        <v>2975</v>
      </c>
      <c r="E1016" s="287" t="s">
        <v>3562</v>
      </c>
      <c r="F1016" s="287" t="s">
        <v>5176</v>
      </c>
      <c r="G1016" s="288" t="s">
        <v>3569</v>
      </c>
      <c r="H1016" s="287">
        <v>45506</v>
      </c>
      <c r="I1016" s="287" t="s">
        <v>2975</v>
      </c>
      <c r="J1016" s="759"/>
    </row>
    <row r="1017" spans="1:10" x14ac:dyDescent="0.2">
      <c r="A1017" s="944">
        <v>39049006372</v>
      </c>
      <c r="B1017" s="239" t="s">
        <v>1035</v>
      </c>
      <c r="C1017" s="286" t="s">
        <v>2975</v>
      </c>
      <c r="D1017" s="865" t="s">
        <v>2975</v>
      </c>
      <c r="E1017" s="287" t="s">
        <v>3563</v>
      </c>
      <c r="F1017" s="287" t="s">
        <v>5177</v>
      </c>
      <c r="G1017" s="288" t="s">
        <v>3569</v>
      </c>
      <c r="H1017" s="287">
        <v>45601</v>
      </c>
      <c r="I1017" s="287" t="s">
        <v>2975</v>
      </c>
      <c r="J1017" s="759"/>
    </row>
    <row r="1018" spans="1:10" x14ac:dyDescent="0.2">
      <c r="A1018" s="944">
        <v>39049006383</v>
      </c>
      <c r="B1018" s="239" t="s">
        <v>1036</v>
      </c>
      <c r="C1018" s="286" t="s">
        <v>2975</v>
      </c>
      <c r="D1018" s="865" t="s">
        <v>2975</v>
      </c>
      <c r="E1018" s="287" t="s">
        <v>3562</v>
      </c>
      <c r="F1018" s="287" t="s">
        <v>5177</v>
      </c>
      <c r="G1018" s="288" t="s">
        <v>3569</v>
      </c>
      <c r="H1018" s="287">
        <v>45612</v>
      </c>
      <c r="I1018" s="287" t="s">
        <v>2975</v>
      </c>
      <c r="J1018" s="759"/>
    </row>
    <row r="1019" spans="1:10" x14ac:dyDescent="0.2">
      <c r="A1019" s="944">
        <v>39049006384</v>
      </c>
      <c r="B1019" s="239" t="s">
        <v>1037</v>
      </c>
      <c r="C1019" s="286" t="s">
        <v>2975</v>
      </c>
      <c r="D1019" s="865" t="s">
        <v>2975</v>
      </c>
      <c r="E1019" s="287" t="s">
        <v>3562</v>
      </c>
      <c r="F1019" s="287" t="s">
        <v>3558</v>
      </c>
      <c r="G1019" s="288" t="s">
        <v>3569</v>
      </c>
      <c r="H1019" s="287">
        <v>45613</v>
      </c>
      <c r="I1019" s="287" t="s">
        <v>2975</v>
      </c>
      <c r="J1019" s="759"/>
    </row>
    <row r="1020" spans="1:10" x14ac:dyDescent="0.2">
      <c r="A1020" s="944">
        <v>39049006386</v>
      </c>
      <c r="B1020" s="239" t="s">
        <v>1038</v>
      </c>
      <c r="C1020" s="286" t="s">
        <v>2975</v>
      </c>
      <c r="D1020" s="865" t="s">
        <v>2975</v>
      </c>
      <c r="E1020" s="287" t="s">
        <v>3562</v>
      </c>
      <c r="F1020" s="287" t="s">
        <v>5177</v>
      </c>
      <c r="G1020" s="288" t="s">
        <v>3569</v>
      </c>
      <c r="H1020" s="287">
        <v>45614</v>
      </c>
      <c r="I1020" s="287" t="s">
        <v>2975</v>
      </c>
      <c r="J1020" s="759"/>
    </row>
    <row r="1021" spans="1:10" x14ac:dyDescent="0.2">
      <c r="A1021" s="944">
        <v>39049006387</v>
      </c>
      <c r="B1021" s="239" t="s">
        <v>1039</v>
      </c>
      <c r="C1021" s="286" t="s">
        <v>2975</v>
      </c>
      <c r="D1021" s="865" t="s">
        <v>2975</v>
      </c>
      <c r="E1021" s="287" t="s">
        <v>3562</v>
      </c>
      <c r="F1021" s="287" t="s">
        <v>5177</v>
      </c>
      <c r="G1021" s="288" t="s">
        <v>3569</v>
      </c>
      <c r="H1021" s="287">
        <v>45616</v>
      </c>
      <c r="I1021" s="287" t="s">
        <v>2975</v>
      </c>
      <c r="J1021" s="759"/>
    </row>
    <row r="1022" spans="1:10" x14ac:dyDescent="0.2">
      <c r="A1022" s="944">
        <v>39049006391</v>
      </c>
      <c r="B1022" s="239" t="s">
        <v>1040</v>
      </c>
      <c r="C1022" s="286" t="s">
        <v>2975</v>
      </c>
      <c r="D1022" s="865" t="s">
        <v>2975</v>
      </c>
      <c r="E1022" s="287" t="s">
        <v>3562</v>
      </c>
      <c r="F1022" s="287" t="s">
        <v>5176</v>
      </c>
      <c r="G1022" s="288" t="s">
        <v>3569</v>
      </c>
      <c r="H1022" s="287">
        <v>45617</v>
      </c>
      <c r="I1022" s="287" t="s">
        <v>2975</v>
      </c>
      <c r="J1022" s="759"/>
    </row>
    <row r="1023" spans="1:10" x14ac:dyDescent="0.2">
      <c r="A1023" s="944">
        <v>39049006392</v>
      </c>
      <c r="B1023" s="239" t="s">
        <v>1041</v>
      </c>
      <c r="C1023" s="286" t="s">
        <v>2975</v>
      </c>
      <c r="D1023" s="865" t="s">
        <v>2975</v>
      </c>
      <c r="E1023" s="287" t="s">
        <v>3562</v>
      </c>
      <c r="F1023" s="287" t="s">
        <v>3559</v>
      </c>
      <c r="G1023" s="288" t="s">
        <v>3569</v>
      </c>
      <c r="H1023" s="287">
        <v>45618</v>
      </c>
      <c r="I1023" s="287" t="s">
        <v>2975</v>
      </c>
      <c r="J1023" s="759"/>
    </row>
    <row r="1024" spans="1:10" x14ac:dyDescent="0.2">
      <c r="A1024" s="944">
        <v>39049006393</v>
      </c>
      <c r="B1024" s="239" t="s">
        <v>1042</v>
      </c>
      <c r="C1024" s="286" t="s">
        <v>2975</v>
      </c>
      <c r="D1024" s="865" t="s">
        <v>2975</v>
      </c>
      <c r="E1024" s="287" t="s">
        <v>3562</v>
      </c>
      <c r="F1024" s="287" t="s">
        <v>5177</v>
      </c>
      <c r="G1024" s="288" t="s">
        <v>3569</v>
      </c>
      <c r="H1024" s="287">
        <v>45619</v>
      </c>
      <c r="I1024" s="287" t="s">
        <v>2975</v>
      </c>
      <c r="J1024" s="759"/>
    </row>
    <row r="1025" spans="1:10" x14ac:dyDescent="0.2">
      <c r="A1025" s="944">
        <v>39049006394</v>
      </c>
      <c r="B1025" s="239" t="s">
        <v>1043</v>
      </c>
      <c r="C1025" s="286" t="s">
        <v>2975</v>
      </c>
      <c r="D1025" s="865" t="s">
        <v>2975</v>
      </c>
      <c r="E1025" s="287" t="s">
        <v>3562</v>
      </c>
      <c r="F1025" s="287" t="s">
        <v>3559</v>
      </c>
      <c r="G1025" s="288" t="s">
        <v>3569</v>
      </c>
      <c r="H1025" s="287">
        <v>45620</v>
      </c>
      <c r="I1025" s="287" t="s">
        <v>2975</v>
      </c>
      <c r="J1025" s="759"/>
    </row>
    <row r="1026" spans="1:10" x14ac:dyDescent="0.2">
      <c r="A1026" s="944">
        <v>39049006395</v>
      </c>
      <c r="B1026" s="239" t="s">
        <v>1044</v>
      </c>
      <c r="C1026" s="286" t="s">
        <v>2975</v>
      </c>
      <c r="D1026" s="865" t="s">
        <v>2975</v>
      </c>
      <c r="E1026" s="287" t="s">
        <v>3562</v>
      </c>
      <c r="F1026" s="287" t="s">
        <v>5177</v>
      </c>
      <c r="G1026" s="288" t="s">
        <v>3569</v>
      </c>
      <c r="H1026" s="287">
        <v>45621</v>
      </c>
      <c r="I1026" s="287" t="s">
        <v>2975</v>
      </c>
      <c r="J1026" s="759"/>
    </row>
    <row r="1027" spans="1:10" x14ac:dyDescent="0.2">
      <c r="A1027" s="944">
        <v>39049006396</v>
      </c>
      <c r="B1027" s="239" t="s">
        <v>1045</v>
      </c>
      <c r="C1027" s="286" t="s">
        <v>2975</v>
      </c>
      <c r="D1027" s="865" t="s">
        <v>2975</v>
      </c>
      <c r="E1027" s="287" t="s">
        <v>3563</v>
      </c>
      <c r="F1027" s="287" t="s">
        <v>3559</v>
      </c>
      <c r="G1027" s="288" t="s">
        <v>3569</v>
      </c>
      <c r="H1027" s="287">
        <v>45622</v>
      </c>
      <c r="I1027" s="287" t="s">
        <v>2975</v>
      </c>
      <c r="J1027" s="759"/>
    </row>
    <row r="1028" spans="1:10" x14ac:dyDescent="0.2">
      <c r="A1028" s="944">
        <v>39049006410</v>
      </c>
      <c r="B1028" s="239" t="s">
        <v>1046</v>
      </c>
      <c r="C1028" s="286" t="s">
        <v>2975</v>
      </c>
      <c r="D1028" s="865" t="s">
        <v>2975</v>
      </c>
      <c r="E1028" s="287" t="s">
        <v>3562</v>
      </c>
      <c r="F1028" s="287" t="s">
        <v>3565</v>
      </c>
      <c r="G1028" s="288" t="s">
        <v>3569</v>
      </c>
      <c r="H1028" s="287">
        <v>45623</v>
      </c>
      <c r="I1028" s="287" t="s">
        <v>2975</v>
      </c>
      <c r="J1028" s="759"/>
    </row>
    <row r="1029" spans="1:10" x14ac:dyDescent="0.2">
      <c r="A1029" s="944">
        <v>39049006430</v>
      </c>
      <c r="B1029" s="239" t="s">
        <v>1047</v>
      </c>
      <c r="C1029" s="286" t="s">
        <v>2975</v>
      </c>
      <c r="D1029" s="865" t="s">
        <v>2975</v>
      </c>
      <c r="E1029" s="287" t="s">
        <v>3562</v>
      </c>
      <c r="F1029" s="287" t="s">
        <v>3559</v>
      </c>
      <c r="G1029" s="288" t="s">
        <v>3569</v>
      </c>
      <c r="H1029" s="287">
        <v>45624</v>
      </c>
      <c r="I1029" s="287" t="s">
        <v>2975</v>
      </c>
      <c r="J1029" s="759"/>
    </row>
    <row r="1030" spans="1:10" x14ac:dyDescent="0.2">
      <c r="A1030" s="944">
        <v>39049006500</v>
      </c>
      <c r="B1030" s="239" t="s">
        <v>1048</v>
      </c>
      <c r="C1030" s="286" t="s">
        <v>2975</v>
      </c>
      <c r="D1030" s="865" t="s">
        <v>2975</v>
      </c>
      <c r="E1030" s="287" t="s">
        <v>3562</v>
      </c>
      <c r="F1030" s="287" t="s">
        <v>3565</v>
      </c>
      <c r="G1030" s="288" t="s">
        <v>3569</v>
      </c>
      <c r="H1030" s="287">
        <v>45628</v>
      </c>
      <c r="I1030" s="287" t="s">
        <v>2975</v>
      </c>
      <c r="J1030" s="759"/>
    </row>
    <row r="1031" spans="1:10" x14ac:dyDescent="0.2">
      <c r="A1031" s="944">
        <v>39049006600</v>
      </c>
      <c r="B1031" s="239" t="s">
        <v>1049</v>
      </c>
      <c r="C1031" s="286" t="s">
        <v>2975</v>
      </c>
      <c r="D1031" s="865" t="s">
        <v>2975</v>
      </c>
      <c r="E1031" s="287" t="s">
        <v>3562</v>
      </c>
      <c r="F1031" s="287" t="s">
        <v>5177</v>
      </c>
      <c r="G1031" s="288" t="s">
        <v>3569</v>
      </c>
      <c r="H1031" s="287">
        <v>45629</v>
      </c>
      <c r="I1031" s="287" t="s">
        <v>2975</v>
      </c>
      <c r="J1031" s="759"/>
    </row>
    <row r="1032" spans="1:10" x14ac:dyDescent="0.2">
      <c r="A1032" s="944">
        <v>39049006710</v>
      </c>
      <c r="B1032" s="239" t="s">
        <v>1050</v>
      </c>
      <c r="C1032" s="286" t="s">
        <v>2975</v>
      </c>
      <c r="D1032" s="865" t="s">
        <v>2975</v>
      </c>
      <c r="E1032" s="287" t="s">
        <v>3562</v>
      </c>
      <c r="F1032" s="287" t="s">
        <v>3565</v>
      </c>
      <c r="G1032" s="288" t="s">
        <v>3569</v>
      </c>
      <c r="H1032" s="287">
        <v>45630</v>
      </c>
      <c r="I1032" s="287" t="s">
        <v>2975</v>
      </c>
      <c r="J1032" s="759"/>
    </row>
    <row r="1033" spans="1:10" x14ac:dyDescent="0.2">
      <c r="A1033" s="944">
        <v>39049006721</v>
      </c>
      <c r="B1033" s="239" t="s">
        <v>1051</v>
      </c>
      <c r="C1033" s="286" t="s">
        <v>2975</v>
      </c>
      <c r="D1033" s="865" t="s">
        <v>2975</v>
      </c>
      <c r="E1033" s="287" t="s">
        <v>3562</v>
      </c>
      <c r="F1033" s="287" t="s">
        <v>3558</v>
      </c>
      <c r="G1033" s="288" t="s">
        <v>3569</v>
      </c>
      <c r="H1033" s="287">
        <v>45631</v>
      </c>
      <c r="I1033" s="287" t="s">
        <v>2975</v>
      </c>
      <c r="J1033" s="759"/>
    </row>
    <row r="1034" spans="1:10" x14ac:dyDescent="0.2">
      <c r="A1034" s="944">
        <v>39049006722</v>
      </c>
      <c r="B1034" s="239" t="s">
        <v>1052</v>
      </c>
      <c r="C1034" s="286" t="s">
        <v>2975</v>
      </c>
      <c r="D1034" s="865" t="s">
        <v>2975</v>
      </c>
      <c r="E1034" s="287" t="s">
        <v>3562</v>
      </c>
      <c r="F1034" s="287" t="s">
        <v>3565</v>
      </c>
      <c r="G1034" s="288" t="s">
        <v>3569</v>
      </c>
      <c r="H1034" s="287">
        <v>45634</v>
      </c>
      <c r="I1034" s="287" t="s">
        <v>2975</v>
      </c>
      <c r="J1034" s="759"/>
    </row>
    <row r="1035" spans="1:10" x14ac:dyDescent="0.2">
      <c r="A1035" s="944">
        <v>39049006810</v>
      </c>
      <c r="B1035" s="239" t="s">
        <v>1053</v>
      </c>
      <c r="C1035" s="286" t="s">
        <v>2975</v>
      </c>
      <c r="D1035" s="865" t="s">
        <v>2975</v>
      </c>
      <c r="E1035" s="287" t="s">
        <v>3562</v>
      </c>
      <c r="F1035" s="287" t="s">
        <v>3559</v>
      </c>
      <c r="G1035" s="288" t="s">
        <v>3569</v>
      </c>
      <c r="H1035" s="287">
        <v>45636</v>
      </c>
      <c r="I1035" s="287" t="s">
        <v>2975</v>
      </c>
      <c r="J1035" s="759"/>
    </row>
    <row r="1036" spans="1:10" x14ac:dyDescent="0.2">
      <c r="A1036" s="944">
        <v>39049006821</v>
      </c>
      <c r="B1036" s="239" t="s">
        <v>1054</v>
      </c>
      <c r="C1036" s="286" t="s">
        <v>2975</v>
      </c>
      <c r="D1036" s="865" t="s">
        <v>2975</v>
      </c>
      <c r="E1036" s="287" t="s">
        <v>3566</v>
      </c>
      <c r="F1036" s="287" t="s">
        <v>3559</v>
      </c>
      <c r="G1036" s="288" t="s">
        <v>3569</v>
      </c>
      <c r="H1036" s="287">
        <v>45638</v>
      </c>
      <c r="I1036" s="287" t="s">
        <v>2975</v>
      </c>
      <c r="J1036" s="759"/>
    </row>
    <row r="1037" spans="1:10" x14ac:dyDescent="0.2">
      <c r="A1037" s="944">
        <v>39049006822</v>
      </c>
      <c r="B1037" s="239" t="s">
        <v>1055</v>
      </c>
      <c r="C1037" s="286" t="s">
        <v>2975</v>
      </c>
      <c r="D1037" s="865" t="s">
        <v>2975</v>
      </c>
      <c r="E1037" s="287" t="s">
        <v>3562</v>
      </c>
      <c r="F1037" s="287" t="s">
        <v>5177</v>
      </c>
      <c r="G1037" s="288" t="s">
        <v>3569</v>
      </c>
      <c r="H1037" s="287">
        <v>45640</v>
      </c>
      <c r="I1037" s="287" t="s">
        <v>2975</v>
      </c>
      <c r="J1037" s="759"/>
    </row>
    <row r="1038" spans="1:10" x14ac:dyDescent="0.2">
      <c r="A1038" s="944">
        <v>39049006910</v>
      </c>
      <c r="B1038" s="239" t="s">
        <v>1056</v>
      </c>
      <c r="C1038" s="286" t="s">
        <v>2975</v>
      </c>
      <c r="D1038" s="865" t="s">
        <v>2975</v>
      </c>
      <c r="E1038" s="287" t="s">
        <v>3562</v>
      </c>
      <c r="F1038" s="287" t="s">
        <v>3565</v>
      </c>
      <c r="G1038" s="288" t="s">
        <v>3569</v>
      </c>
      <c r="H1038" s="287">
        <v>45642</v>
      </c>
      <c r="I1038" s="287" t="s">
        <v>2975</v>
      </c>
      <c r="J1038" s="759"/>
    </row>
    <row r="1039" spans="1:10" x14ac:dyDescent="0.2">
      <c r="A1039" s="944">
        <v>39049006921</v>
      </c>
      <c r="B1039" s="239" t="s">
        <v>1057</v>
      </c>
      <c r="C1039" s="286" t="s">
        <v>4330</v>
      </c>
      <c r="D1039" s="865" t="s">
        <v>4330</v>
      </c>
      <c r="E1039" s="287" t="s">
        <v>3564</v>
      </c>
      <c r="F1039" s="287" t="s">
        <v>3559</v>
      </c>
      <c r="G1039" s="288" t="s">
        <v>3569</v>
      </c>
      <c r="H1039" s="287">
        <v>45644</v>
      </c>
      <c r="I1039" s="287" t="s">
        <v>2975</v>
      </c>
      <c r="J1039" s="759"/>
    </row>
    <row r="1040" spans="1:10" x14ac:dyDescent="0.2">
      <c r="A1040" s="944">
        <v>39049006923</v>
      </c>
      <c r="B1040" s="239" t="s">
        <v>1058</v>
      </c>
      <c r="C1040" s="286" t="s">
        <v>2975</v>
      </c>
      <c r="D1040" s="865" t="s">
        <v>2975</v>
      </c>
      <c r="E1040" s="287" t="s">
        <v>3566</v>
      </c>
      <c r="F1040" s="287" t="s">
        <v>3559</v>
      </c>
      <c r="G1040" s="288" t="s">
        <v>3569</v>
      </c>
      <c r="H1040" s="287">
        <v>45645</v>
      </c>
      <c r="I1040" s="287" t="s">
        <v>2975</v>
      </c>
      <c r="J1040" s="759"/>
    </row>
    <row r="1041" spans="1:10" x14ac:dyDescent="0.2">
      <c r="A1041" s="944">
        <v>39049006924</v>
      </c>
      <c r="B1041" s="239" t="s">
        <v>1059</v>
      </c>
      <c r="C1041" s="286" t="s">
        <v>2975</v>
      </c>
      <c r="D1041" s="865" t="s">
        <v>2975</v>
      </c>
      <c r="E1041" s="287" t="s">
        <v>3564</v>
      </c>
      <c r="F1041" s="287" t="s">
        <v>3559</v>
      </c>
      <c r="G1041" s="288" t="s">
        <v>3569</v>
      </c>
      <c r="H1041" s="287">
        <v>45646</v>
      </c>
      <c r="I1041" s="287" t="s">
        <v>2975</v>
      </c>
      <c r="J1041" s="759"/>
    </row>
    <row r="1042" spans="1:10" x14ac:dyDescent="0.2">
      <c r="A1042" s="944">
        <v>39049006931</v>
      </c>
      <c r="B1042" s="239" t="s">
        <v>1060</v>
      </c>
      <c r="C1042" s="286" t="s">
        <v>2975</v>
      </c>
      <c r="D1042" s="865" t="s">
        <v>4330</v>
      </c>
      <c r="E1042" s="287" t="s">
        <v>3564</v>
      </c>
      <c r="F1042" s="287" t="s">
        <v>5177</v>
      </c>
      <c r="G1042" s="288" t="s">
        <v>3569</v>
      </c>
      <c r="H1042" s="287">
        <v>45647</v>
      </c>
      <c r="I1042" s="287" t="s">
        <v>2975</v>
      </c>
      <c r="J1042" s="759"/>
    </row>
    <row r="1043" spans="1:10" x14ac:dyDescent="0.2">
      <c r="A1043" s="944">
        <v>39049006932</v>
      </c>
      <c r="B1043" s="239" t="s">
        <v>1061</v>
      </c>
      <c r="C1043" s="286" t="s">
        <v>2975</v>
      </c>
      <c r="D1043" s="865" t="s">
        <v>2975</v>
      </c>
      <c r="E1043" s="287" t="s">
        <v>3564</v>
      </c>
      <c r="F1043" s="287" t="s">
        <v>5176</v>
      </c>
      <c r="G1043" s="288" t="s">
        <v>3569</v>
      </c>
      <c r="H1043" s="287">
        <v>45648</v>
      </c>
      <c r="I1043" s="287" t="s">
        <v>2975</v>
      </c>
      <c r="J1043" s="759"/>
    </row>
    <row r="1044" spans="1:10" x14ac:dyDescent="0.2">
      <c r="A1044" s="944">
        <v>39049006933</v>
      </c>
      <c r="B1044" s="239" t="s">
        <v>1062</v>
      </c>
      <c r="C1044" s="286" t="s">
        <v>4330</v>
      </c>
      <c r="D1044" s="865" t="s">
        <v>4330</v>
      </c>
      <c r="E1044" s="287" t="s">
        <v>3557</v>
      </c>
      <c r="F1044" s="287" t="s">
        <v>3558</v>
      </c>
      <c r="G1044" s="288" t="s">
        <v>3569</v>
      </c>
      <c r="H1044" s="287">
        <v>45650</v>
      </c>
      <c r="I1044" s="287" t="s">
        <v>2975</v>
      </c>
      <c r="J1044" s="759"/>
    </row>
    <row r="1045" spans="1:10" x14ac:dyDescent="0.2">
      <c r="A1045" s="944">
        <v>39049006942</v>
      </c>
      <c r="B1045" s="239" t="s">
        <v>1063</v>
      </c>
      <c r="C1045" s="286" t="s">
        <v>2975</v>
      </c>
      <c r="D1045" s="865" t="s">
        <v>2975</v>
      </c>
      <c r="E1045" s="287" t="s">
        <v>3564</v>
      </c>
      <c r="F1045" s="287" t="s">
        <v>3560</v>
      </c>
      <c r="G1045" s="288" t="s">
        <v>3569</v>
      </c>
      <c r="H1045" s="287">
        <v>45651</v>
      </c>
      <c r="I1045" s="287" t="s">
        <v>2975</v>
      </c>
      <c r="J1045" s="759"/>
    </row>
    <row r="1046" spans="1:10" x14ac:dyDescent="0.2">
      <c r="A1046" s="944">
        <v>39049006943</v>
      </c>
      <c r="B1046" s="239" t="s">
        <v>1064</v>
      </c>
      <c r="C1046" s="286" t="s">
        <v>2975</v>
      </c>
      <c r="D1046" s="865" t="s">
        <v>2975</v>
      </c>
      <c r="E1046" s="287" t="s">
        <v>3564</v>
      </c>
      <c r="F1046" s="287" t="s">
        <v>3565</v>
      </c>
      <c r="G1046" s="288" t="s">
        <v>3569</v>
      </c>
      <c r="H1046" s="287">
        <v>45652</v>
      </c>
      <c r="I1046" s="287" t="s">
        <v>2975</v>
      </c>
      <c r="J1046" s="759"/>
    </row>
    <row r="1047" spans="1:10" x14ac:dyDescent="0.2">
      <c r="A1047" s="944">
        <v>39049006944</v>
      </c>
      <c r="B1047" s="239" t="s">
        <v>1065</v>
      </c>
      <c r="C1047" s="286" t="s">
        <v>2975</v>
      </c>
      <c r="D1047" s="865" t="s">
        <v>2975</v>
      </c>
      <c r="E1047" s="287" t="s">
        <v>3563</v>
      </c>
      <c r="F1047" s="287" t="s">
        <v>5177</v>
      </c>
      <c r="G1047" s="288" t="s">
        <v>3569</v>
      </c>
      <c r="H1047" s="287">
        <v>45653</v>
      </c>
      <c r="I1047" s="287" t="s">
        <v>2975</v>
      </c>
      <c r="J1047" s="759"/>
    </row>
    <row r="1048" spans="1:10" x14ac:dyDescent="0.2">
      <c r="A1048" s="944">
        <v>39049006945</v>
      </c>
      <c r="B1048" s="239" t="s">
        <v>1066</v>
      </c>
      <c r="C1048" s="286" t="s">
        <v>4330</v>
      </c>
      <c r="D1048" s="865" t="s">
        <v>4330</v>
      </c>
      <c r="E1048" s="287" t="s">
        <v>3564</v>
      </c>
      <c r="F1048" s="287" t="s">
        <v>3565</v>
      </c>
      <c r="G1048" s="288" t="s">
        <v>3569</v>
      </c>
      <c r="H1048" s="287">
        <v>45654</v>
      </c>
      <c r="I1048" s="287" t="s">
        <v>2975</v>
      </c>
      <c r="J1048" s="759"/>
    </row>
    <row r="1049" spans="1:10" x14ac:dyDescent="0.2">
      <c r="A1049" s="944">
        <v>39049006950</v>
      </c>
      <c r="B1049" s="239" t="s">
        <v>1067</v>
      </c>
      <c r="C1049" s="286" t="s">
        <v>2975</v>
      </c>
      <c r="D1049" s="865" t="s">
        <v>2975</v>
      </c>
      <c r="E1049" s="287" t="s">
        <v>3562</v>
      </c>
      <c r="F1049" s="287" t="s">
        <v>5176</v>
      </c>
      <c r="G1049" s="288" t="s">
        <v>3569</v>
      </c>
      <c r="H1049" s="287">
        <v>45656</v>
      </c>
      <c r="I1049" s="287" t="s">
        <v>2975</v>
      </c>
      <c r="J1049" s="759"/>
    </row>
    <row r="1050" spans="1:10" x14ac:dyDescent="0.2">
      <c r="A1050" s="944">
        <v>39049006990</v>
      </c>
      <c r="B1050" s="239" t="s">
        <v>1068</v>
      </c>
      <c r="C1050" s="286" t="s">
        <v>2975</v>
      </c>
      <c r="D1050" s="865" t="s">
        <v>2975</v>
      </c>
      <c r="E1050" s="287" t="s">
        <v>3566</v>
      </c>
      <c r="F1050" s="287" t="s">
        <v>3559</v>
      </c>
      <c r="G1050" s="288" t="s">
        <v>3569</v>
      </c>
      <c r="H1050" s="287">
        <v>45657</v>
      </c>
      <c r="I1050" s="287" t="s">
        <v>2975</v>
      </c>
      <c r="J1050" s="759"/>
    </row>
    <row r="1051" spans="1:10" x14ac:dyDescent="0.2">
      <c r="A1051" s="944">
        <v>39049007010</v>
      </c>
      <c r="B1051" s="239" t="s">
        <v>1069</v>
      </c>
      <c r="C1051" s="286" t="s">
        <v>2975</v>
      </c>
      <c r="D1051" s="865" t="s">
        <v>2975</v>
      </c>
      <c r="E1051" s="287" t="s">
        <v>3563</v>
      </c>
      <c r="F1051" s="287" t="s">
        <v>3559</v>
      </c>
      <c r="G1051" s="288" t="s">
        <v>3569</v>
      </c>
      <c r="H1051" s="287">
        <v>45658</v>
      </c>
      <c r="I1051" s="287" t="s">
        <v>2975</v>
      </c>
      <c r="J1051" s="759"/>
    </row>
    <row r="1052" spans="1:10" x14ac:dyDescent="0.2">
      <c r="A1052" s="944">
        <v>39049007020</v>
      </c>
      <c r="B1052" s="239" t="s">
        <v>1070</v>
      </c>
      <c r="C1052" s="286" t="s">
        <v>2975</v>
      </c>
      <c r="D1052" s="865" t="s">
        <v>2975</v>
      </c>
      <c r="E1052" s="287" t="s">
        <v>3563</v>
      </c>
      <c r="F1052" s="287" t="s">
        <v>3559</v>
      </c>
      <c r="G1052" s="288" t="s">
        <v>3569</v>
      </c>
      <c r="H1052" s="287">
        <v>45659</v>
      </c>
      <c r="I1052" s="287" t="s">
        <v>2975</v>
      </c>
      <c r="J1052" s="759"/>
    </row>
    <row r="1053" spans="1:10" x14ac:dyDescent="0.2">
      <c r="A1053" s="944">
        <v>39049007041</v>
      </c>
      <c r="B1053" s="239" t="s">
        <v>1071</v>
      </c>
      <c r="C1053" s="286" t="s">
        <v>2975</v>
      </c>
      <c r="D1053" s="865" t="s">
        <v>2975</v>
      </c>
      <c r="E1053" s="287" t="s">
        <v>3562</v>
      </c>
      <c r="F1053" s="287" t="s">
        <v>3565</v>
      </c>
      <c r="G1053" s="288" t="s">
        <v>3569</v>
      </c>
      <c r="H1053" s="287">
        <v>45660</v>
      </c>
      <c r="I1053" s="287" t="s">
        <v>2975</v>
      </c>
      <c r="J1053" s="759"/>
    </row>
    <row r="1054" spans="1:10" x14ac:dyDescent="0.2">
      <c r="A1054" s="944">
        <v>39049007043</v>
      </c>
      <c r="B1054" s="239" t="s">
        <v>1072</v>
      </c>
      <c r="C1054" s="286" t="s">
        <v>2975</v>
      </c>
      <c r="D1054" s="865" t="s">
        <v>2975</v>
      </c>
      <c r="E1054" s="287" t="s">
        <v>3563</v>
      </c>
      <c r="F1054" s="287" t="s">
        <v>3565</v>
      </c>
      <c r="G1054" s="288" t="s">
        <v>3569</v>
      </c>
      <c r="H1054" s="287">
        <v>45661</v>
      </c>
      <c r="I1054" s="287" t="s">
        <v>2975</v>
      </c>
      <c r="J1054" s="759"/>
    </row>
    <row r="1055" spans="1:10" x14ac:dyDescent="0.2">
      <c r="A1055" s="944">
        <v>39049007044</v>
      </c>
      <c r="B1055" s="239" t="s">
        <v>1073</v>
      </c>
      <c r="C1055" s="286" t="s">
        <v>2975</v>
      </c>
      <c r="D1055" s="865" t="s">
        <v>2975</v>
      </c>
      <c r="E1055" s="287" t="s">
        <v>3562</v>
      </c>
      <c r="F1055" s="287" t="s">
        <v>3558</v>
      </c>
      <c r="G1055" s="288" t="s">
        <v>3569</v>
      </c>
      <c r="H1055" s="287">
        <v>45662</v>
      </c>
      <c r="I1055" s="287" t="s">
        <v>2975</v>
      </c>
      <c r="J1055" s="759"/>
    </row>
    <row r="1056" spans="1:10" x14ac:dyDescent="0.2">
      <c r="A1056" s="944">
        <v>39049007047</v>
      </c>
      <c r="B1056" s="239" t="s">
        <v>1074</v>
      </c>
      <c r="C1056" s="286" t="s">
        <v>2975</v>
      </c>
      <c r="D1056" s="865" t="s">
        <v>2975</v>
      </c>
      <c r="E1056" s="287" t="s">
        <v>3563</v>
      </c>
      <c r="F1056" s="287" t="s">
        <v>5177</v>
      </c>
      <c r="G1056" s="288" t="s">
        <v>3569</v>
      </c>
      <c r="H1056" s="287">
        <v>45663</v>
      </c>
      <c r="I1056" s="287" t="s">
        <v>2975</v>
      </c>
      <c r="J1056" s="759"/>
    </row>
    <row r="1057" spans="1:10" x14ac:dyDescent="0.2">
      <c r="A1057" s="944">
        <v>39049007048</v>
      </c>
      <c r="B1057" s="239" t="s">
        <v>1075</v>
      </c>
      <c r="C1057" s="286" t="s">
        <v>2975</v>
      </c>
      <c r="D1057" s="865" t="s">
        <v>2975</v>
      </c>
      <c r="E1057" s="287" t="s">
        <v>3563</v>
      </c>
      <c r="F1057" s="287" t="s">
        <v>3565</v>
      </c>
      <c r="G1057" s="288" t="s">
        <v>3569</v>
      </c>
      <c r="H1057" s="287">
        <v>45669</v>
      </c>
      <c r="I1057" s="287" t="s">
        <v>2975</v>
      </c>
      <c r="J1057" s="759"/>
    </row>
    <row r="1058" spans="1:10" x14ac:dyDescent="0.2">
      <c r="A1058" s="944">
        <v>39049007112</v>
      </c>
      <c r="B1058" s="239" t="s">
        <v>1076</v>
      </c>
      <c r="C1058" s="286" t="s">
        <v>2975</v>
      </c>
      <c r="D1058" s="865" t="s">
        <v>2975</v>
      </c>
      <c r="E1058" s="287" t="s">
        <v>3564</v>
      </c>
      <c r="F1058" s="287" t="s">
        <v>3565</v>
      </c>
      <c r="G1058" s="288" t="s">
        <v>3569</v>
      </c>
      <c r="H1058" s="287">
        <v>45671</v>
      </c>
      <c r="I1058" s="287" t="s">
        <v>2975</v>
      </c>
      <c r="J1058" s="759"/>
    </row>
    <row r="1059" spans="1:10" x14ac:dyDescent="0.2">
      <c r="A1059" s="944">
        <v>39049007113</v>
      </c>
      <c r="B1059" s="239" t="s">
        <v>1077</v>
      </c>
      <c r="C1059" s="286" t="s">
        <v>2975</v>
      </c>
      <c r="D1059" s="865" t="s">
        <v>2975</v>
      </c>
      <c r="E1059" s="287" t="s">
        <v>3564</v>
      </c>
      <c r="F1059" s="287" t="s">
        <v>5176</v>
      </c>
      <c r="G1059" s="288" t="s">
        <v>3569</v>
      </c>
      <c r="H1059" s="287">
        <v>45672</v>
      </c>
      <c r="I1059" s="287" t="s">
        <v>2975</v>
      </c>
      <c r="J1059" s="759"/>
    </row>
    <row r="1060" spans="1:10" x14ac:dyDescent="0.2">
      <c r="A1060" s="944">
        <v>39049007114</v>
      </c>
      <c r="B1060" s="239" t="s">
        <v>1078</v>
      </c>
      <c r="C1060" s="286" t="s">
        <v>2975</v>
      </c>
      <c r="D1060" s="865" t="s">
        <v>2975</v>
      </c>
      <c r="E1060" s="287" t="s">
        <v>3566</v>
      </c>
      <c r="F1060" s="287" t="s">
        <v>5176</v>
      </c>
      <c r="G1060" s="288" t="s">
        <v>3569</v>
      </c>
      <c r="H1060" s="287">
        <v>45673</v>
      </c>
      <c r="I1060" s="287" t="s">
        <v>2975</v>
      </c>
      <c r="J1060" s="759"/>
    </row>
    <row r="1061" spans="1:10" x14ac:dyDescent="0.2">
      <c r="A1061" s="944">
        <v>39049007115</v>
      </c>
      <c r="B1061" s="239" t="s">
        <v>1079</v>
      </c>
      <c r="C1061" s="286" t="s">
        <v>4330</v>
      </c>
      <c r="D1061" s="865" t="s">
        <v>2975</v>
      </c>
      <c r="E1061" s="287" t="s">
        <v>3566</v>
      </c>
      <c r="F1061" s="287" t="s">
        <v>3565</v>
      </c>
      <c r="G1061" s="288" t="s">
        <v>3569</v>
      </c>
      <c r="H1061" s="287">
        <v>45674</v>
      </c>
      <c r="I1061" s="287" t="s">
        <v>2975</v>
      </c>
      <c r="J1061" s="759"/>
    </row>
    <row r="1062" spans="1:10" x14ac:dyDescent="0.2">
      <c r="A1062" s="944">
        <v>39049007120</v>
      </c>
      <c r="B1062" s="239" t="s">
        <v>1080</v>
      </c>
      <c r="C1062" s="286" t="s">
        <v>2975</v>
      </c>
      <c r="D1062" s="865" t="s">
        <v>2975</v>
      </c>
      <c r="E1062" s="287" t="s">
        <v>3563</v>
      </c>
      <c r="F1062" s="287" t="s">
        <v>5177</v>
      </c>
      <c r="G1062" s="288" t="s">
        <v>3569</v>
      </c>
      <c r="H1062" s="287">
        <v>45678</v>
      </c>
      <c r="I1062" s="287" t="s">
        <v>2975</v>
      </c>
      <c r="J1062" s="759"/>
    </row>
    <row r="1063" spans="1:10" x14ac:dyDescent="0.2">
      <c r="A1063" s="944">
        <v>39049007132</v>
      </c>
      <c r="B1063" s="239" t="s">
        <v>1081</v>
      </c>
      <c r="C1063" s="286" t="s">
        <v>2975</v>
      </c>
      <c r="D1063" s="865" t="s">
        <v>2975</v>
      </c>
      <c r="E1063" s="287" t="s">
        <v>3563</v>
      </c>
      <c r="F1063" s="287" t="s">
        <v>3559</v>
      </c>
      <c r="G1063" s="288" t="s">
        <v>3569</v>
      </c>
      <c r="H1063" s="287">
        <v>45679</v>
      </c>
      <c r="I1063" s="287" t="s">
        <v>2975</v>
      </c>
      <c r="J1063" s="759"/>
    </row>
    <row r="1064" spans="1:10" x14ac:dyDescent="0.2">
      <c r="A1064" s="944">
        <v>39049007193</v>
      </c>
      <c r="B1064" s="239" t="s">
        <v>1082</v>
      </c>
      <c r="C1064" s="286" t="s">
        <v>2975</v>
      </c>
      <c r="D1064" s="865" t="s">
        <v>2975</v>
      </c>
      <c r="E1064" s="287" t="s">
        <v>3563</v>
      </c>
      <c r="F1064" s="287" t="s">
        <v>3565</v>
      </c>
      <c r="G1064" s="288" t="s">
        <v>3569</v>
      </c>
      <c r="H1064" s="287">
        <v>45680</v>
      </c>
      <c r="I1064" s="287" t="s">
        <v>2975</v>
      </c>
      <c r="J1064" s="759"/>
    </row>
    <row r="1065" spans="1:10" x14ac:dyDescent="0.2">
      <c r="A1065" s="944">
        <v>39049007194</v>
      </c>
      <c r="B1065" s="239" t="s">
        <v>1083</v>
      </c>
      <c r="C1065" s="286" t="s">
        <v>2975</v>
      </c>
      <c r="D1065" s="865" t="s">
        <v>2975</v>
      </c>
      <c r="E1065" s="287" t="s">
        <v>3562</v>
      </c>
      <c r="F1065" s="287" t="s">
        <v>3559</v>
      </c>
      <c r="G1065" s="288" t="s">
        <v>3569</v>
      </c>
      <c r="H1065" s="287">
        <v>45681</v>
      </c>
      <c r="I1065" s="287" t="s">
        <v>2975</v>
      </c>
      <c r="J1065" s="759"/>
    </row>
    <row r="1066" spans="1:10" x14ac:dyDescent="0.2">
      <c r="A1066" s="944">
        <v>39049007198</v>
      </c>
      <c r="B1066" s="239" t="s">
        <v>1084</v>
      </c>
      <c r="C1066" s="286" t="s">
        <v>2975</v>
      </c>
      <c r="D1066" s="865" t="s">
        <v>2975</v>
      </c>
      <c r="E1066" s="287" t="s">
        <v>3563</v>
      </c>
      <c r="F1066" s="287" t="s">
        <v>5176</v>
      </c>
      <c r="G1066" s="288" t="s">
        <v>3569</v>
      </c>
      <c r="H1066" s="287">
        <v>45682</v>
      </c>
      <c r="I1066" s="287" t="s">
        <v>2975</v>
      </c>
      <c r="J1066" s="759"/>
    </row>
    <row r="1067" spans="1:10" x14ac:dyDescent="0.2">
      <c r="A1067" s="944">
        <v>39049007199</v>
      </c>
      <c r="B1067" s="239" t="s">
        <v>1085</v>
      </c>
      <c r="C1067" s="286" t="s">
        <v>2975</v>
      </c>
      <c r="D1067" s="865" t="s">
        <v>2975</v>
      </c>
      <c r="E1067" s="287" t="s">
        <v>3566</v>
      </c>
      <c r="F1067" s="287" t="s">
        <v>3558</v>
      </c>
      <c r="G1067" s="288" t="s">
        <v>3569</v>
      </c>
      <c r="H1067" s="287">
        <v>45684</v>
      </c>
      <c r="I1067" s="287" t="s">
        <v>2975</v>
      </c>
      <c r="J1067" s="759"/>
    </row>
    <row r="1068" spans="1:10" x14ac:dyDescent="0.2">
      <c r="A1068" s="944">
        <v>39049007201</v>
      </c>
      <c r="B1068" s="239" t="s">
        <v>1086</v>
      </c>
      <c r="C1068" s="286" t="s">
        <v>2975</v>
      </c>
      <c r="D1068" s="865" t="s">
        <v>2975</v>
      </c>
      <c r="E1068" s="287" t="s">
        <v>3562</v>
      </c>
      <c r="F1068" s="287" t="s">
        <v>3565</v>
      </c>
      <c r="G1068" s="288" t="s">
        <v>3568</v>
      </c>
      <c r="H1068" s="287">
        <v>45685</v>
      </c>
      <c r="I1068" s="287" t="s">
        <v>2975</v>
      </c>
      <c r="J1068" s="759"/>
    </row>
    <row r="1069" spans="1:10" x14ac:dyDescent="0.2">
      <c r="A1069" s="944">
        <v>39049007202</v>
      </c>
      <c r="B1069" s="239" t="s">
        <v>1087</v>
      </c>
      <c r="C1069" s="286" t="s">
        <v>2975</v>
      </c>
      <c r="D1069" s="865" t="s">
        <v>2975</v>
      </c>
      <c r="E1069" s="287" t="s">
        <v>3564</v>
      </c>
      <c r="F1069" s="287" t="s">
        <v>3559</v>
      </c>
      <c r="G1069" s="288" t="s">
        <v>3569</v>
      </c>
      <c r="H1069" s="287">
        <v>45686</v>
      </c>
      <c r="I1069" s="287" t="s">
        <v>2975</v>
      </c>
      <c r="J1069" s="759"/>
    </row>
    <row r="1070" spans="1:10" x14ac:dyDescent="0.2">
      <c r="A1070" s="944">
        <v>39049007203</v>
      </c>
      <c r="B1070" s="239" t="s">
        <v>1088</v>
      </c>
      <c r="C1070" s="286" t="s">
        <v>2975</v>
      </c>
      <c r="D1070" s="865" t="s">
        <v>2975</v>
      </c>
      <c r="E1070" s="287" t="s">
        <v>3562</v>
      </c>
      <c r="F1070" s="287" t="s">
        <v>5177</v>
      </c>
      <c r="G1070" s="288" t="s">
        <v>3569</v>
      </c>
      <c r="H1070" s="287">
        <v>45690</v>
      </c>
      <c r="I1070" s="287" t="s">
        <v>2975</v>
      </c>
      <c r="J1070" s="759"/>
    </row>
    <row r="1071" spans="1:10" x14ac:dyDescent="0.2">
      <c r="A1071" s="944">
        <v>39049007205</v>
      </c>
      <c r="B1071" s="239" t="s">
        <v>1089</v>
      </c>
      <c r="C1071" s="286" t="s">
        <v>2975</v>
      </c>
      <c r="D1071" s="865" t="s">
        <v>2975</v>
      </c>
      <c r="E1071" s="287" t="s">
        <v>3563</v>
      </c>
      <c r="F1071" s="287" t="s">
        <v>3559</v>
      </c>
      <c r="G1071" s="288" t="s">
        <v>3569</v>
      </c>
      <c r="H1071" s="287">
        <v>45692</v>
      </c>
      <c r="I1071" s="287" t="s">
        <v>2975</v>
      </c>
      <c r="J1071" s="759"/>
    </row>
    <row r="1072" spans="1:10" x14ac:dyDescent="0.2">
      <c r="A1072" s="944">
        <v>39049007207</v>
      </c>
      <c r="B1072" s="239" t="s">
        <v>1090</v>
      </c>
      <c r="C1072" s="286" t="s">
        <v>2975</v>
      </c>
      <c r="D1072" s="865" t="s">
        <v>2975</v>
      </c>
      <c r="E1072" s="287" t="s">
        <v>3563</v>
      </c>
      <c r="F1072" s="287" t="s">
        <v>3558</v>
      </c>
      <c r="G1072" s="288" t="s">
        <v>3569</v>
      </c>
      <c r="H1072" s="287">
        <v>45693</v>
      </c>
      <c r="I1072" s="287" t="s">
        <v>2975</v>
      </c>
      <c r="J1072" s="759"/>
    </row>
    <row r="1073" spans="1:10" x14ac:dyDescent="0.2">
      <c r="A1073" s="944">
        <v>39049007209</v>
      </c>
      <c r="B1073" s="239" t="s">
        <v>1091</v>
      </c>
      <c r="C1073" s="286" t="s">
        <v>2975</v>
      </c>
      <c r="D1073" s="865" t="s">
        <v>2975</v>
      </c>
      <c r="E1073" s="287" t="s">
        <v>3562</v>
      </c>
      <c r="F1073" s="287" t="s">
        <v>3565</v>
      </c>
      <c r="G1073" s="288" t="s">
        <v>3569</v>
      </c>
      <c r="H1073" s="287">
        <v>45694</v>
      </c>
      <c r="I1073" s="287" t="s">
        <v>2975</v>
      </c>
      <c r="J1073" s="759"/>
    </row>
    <row r="1074" spans="1:10" x14ac:dyDescent="0.2">
      <c r="A1074" s="944">
        <v>39049007210</v>
      </c>
      <c r="B1074" s="239" t="s">
        <v>1092</v>
      </c>
      <c r="C1074" s="286" t="s">
        <v>2975</v>
      </c>
      <c r="D1074" s="865" t="s">
        <v>2975</v>
      </c>
      <c r="E1074" s="287" t="s">
        <v>3562</v>
      </c>
      <c r="F1074" s="287" t="s">
        <v>5176</v>
      </c>
      <c r="G1074" s="288" t="s">
        <v>3569</v>
      </c>
      <c r="H1074" s="287">
        <v>45695</v>
      </c>
      <c r="I1074" s="287" t="s">
        <v>2975</v>
      </c>
      <c r="J1074" s="759"/>
    </row>
    <row r="1075" spans="1:10" x14ac:dyDescent="0.2">
      <c r="A1075" s="944">
        <v>39049007393</v>
      </c>
      <c r="B1075" s="239" t="s">
        <v>1093</v>
      </c>
      <c r="C1075" s="286" t="s">
        <v>2975</v>
      </c>
      <c r="D1075" s="865" t="s">
        <v>2975</v>
      </c>
      <c r="E1075" s="287" t="s">
        <v>3562</v>
      </c>
      <c r="F1075" s="287" t="s">
        <v>3559</v>
      </c>
      <c r="G1075" s="288" t="s">
        <v>3569</v>
      </c>
      <c r="H1075" s="287">
        <v>45696</v>
      </c>
      <c r="I1075" s="287" t="s">
        <v>2975</v>
      </c>
      <c r="J1075" s="759"/>
    </row>
    <row r="1076" spans="1:10" x14ac:dyDescent="0.2">
      <c r="A1076" s="944">
        <v>39049007394</v>
      </c>
      <c r="B1076" s="239" t="s">
        <v>1094</v>
      </c>
      <c r="C1076" s="286" t="s">
        <v>2975</v>
      </c>
      <c r="D1076" s="865" t="s">
        <v>2975</v>
      </c>
      <c r="E1076" s="287" t="s">
        <v>3562</v>
      </c>
      <c r="F1076" s="287" t="s">
        <v>5176</v>
      </c>
      <c r="G1076" s="288" t="s">
        <v>3569</v>
      </c>
      <c r="H1076" s="287">
        <v>45697</v>
      </c>
      <c r="I1076" s="287" t="s">
        <v>2975</v>
      </c>
      <c r="J1076" s="759"/>
    </row>
    <row r="1077" spans="1:10" x14ac:dyDescent="0.2">
      <c r="A1077" s="944">
        <v>39049007395</v>
      </c>
      <c r="B1077" s="239" t="s">
        <v>1095</v>
      </c>
      <c r="C1077" s="286" t="s">
        <v>2975</v>
      </c>
      <c r="D1077" s="865" t="s">
        <v>2975</v>
      </c>
      <c r="E1077" s="287" t="s">
        <v>3566</v>
      </c>
      <c r="F1077" s="287" t="s">
        <v>3558</v>
      </c>
      <c r="G1077" s="288" t="s">
        <v>3569</v>
      </c>
      <c r="H1077" s="287">
        <v>45698</v>
      </c>
      <c r="I1077" s="287" t="s">
        <v>2975</v>
      </c>
      <c r="J1077" s="759"/>
    </row>
    <row r="1078" spans="1:10" x14ac:dyDescent="0.2">
      <c r="A1078" s="944">
        <v>39049007396</v>
      </c>
      <c r="B1078" s="239" t="s">
        <v>1096</v>
      </c>
      <c r="C1078" s="286" t="s">
        <v>2975</v>
      </c>
      <c r="D1078" s="865" t="s">
        <v>2975</v>
      </c>
      <c r="E1078" s="287" t="s">
        <v>3564</v>
      </c>
      <c r="F1078" s="287" t="s">
        <v>3565</v>
      </c>
      <c r="G1078" s="288" t="s">
        <v>3569</v>
      </c>
      <c r="H1078" s="287">
        <v>45701</v>
      </c>
      <c r="I1078" s="287" t="s">
        <v>2975</v>
      </c>
      <c r="J1078" s="759"/>
    </row>
    <row r="1079" spans="1:10" x14ac:dyDescent="0.2">
      <c r="A1079" s="944">
        <v>39049007424</v>
      </c>
      <c r="B1079" s="239" t="s">
        <v>1097</v>
      </c>
      <c r="C1079" s="286" t="s">
        <v>2975</v>
      </c>
      <c r="D1079" s="865" t="s">
        <v>2975</v>
      </c>
      <c r="E1079" s="287" t="s">
        <v>3563</v>
      </c>
      <c r="F1079" s="287" t="s">
        <v>3565</v>
      </c>
      <c r="G1079" s="288" t="s">
        <v>3569</v>
      </c>
      <c r="H1079" s="287">
        <v>45710</v>
      </c>
      <c r="I1079" s="287" t="s">
        <v>2975</v>
      </c>
      <c r="J1079" s="759"/>
    </row>
    <row r="1080" spans="1:10" x14ac:dyDescent="0.2">
      <c r="A1080" s="944">
        <v>39049007425</v>
      </c>
      <c r="B1080" s="239" t="s">
        <v>1098</v>
      </c>
      <c r="C1080" s="286" t="s">
        <v>2975</v>
      </c>
      <c r="D1080" s="865" t="s">
        <v>2975</v>
      </c>
      <c r="E1080" s="287" t="s">
        <v>3563</v>
      </c>
      <c r="F1080" s="287" t="s">
        <v>3565</v>
      </c>
      <c r="G1080" s="288" t="s">
        <v>3569</v>
      </c>
      <c r="H1080" s="287">
        <v>45711</v>
      </c>
      <c r="I1080" s="287" t="s">
        <v>2975</v>
      </c>
      <c r="J1080" s="759"/>
    </row>
    <row r="1081" spans="1:10" x14ac:dyDescent="0.2">
      <c r="A1081" s="944">
        <v>39049007426</v>
      </c>
      <c r="B1081" s="239" t="s">
        <v>1099</v>
      </c>
      <c r="C1081" s="286" t="s">
        <v>2975</v>
      </c>
      <c r="D1081" s="865" t="s">
        <v>2975</v>
      </c>
      <c r="E1081" s="287" t="s">
        <v>3562</v>
      </c>
      <c r="F1081" s="287" t="s">
        <v>5177</v>
      </c>
      <c r="G1081" s="288" t="s">
        <v>3569</v>
      </c>
      <c r="H1081" s="287">
        <v>45714</v>
      </c>
      <c r="I1081" s="287" t="s">
        <v>2975</v>
      </c>
      <c r="J1081" s="759"/>
    </row>
    <row r="1082" spans="1:10" x14ac:dyDescent="0.2">
      <c r="A1082" s="944">
        <v>39049007427</v>
      </c>
      <c r="B1082" s="239" t="s">
        <v>1100</v>
      </c>
      <c r="C1082" s="286" t="s">
        <v>2975</v>
      </c>
      <c r="D1082" s="865" t="s">
        <v>2975</v>
      </c>
      <c r="E1082" s="287" t="s">
        <v>3562</v>
      </c>
      <c r="F1082" s="287" t="s">
        <v>3558</v>
      </c>
      <c r="G1082" s="288" t="s">
        <v>3569</v>
      </c>
      <c r="H1082" s="287">
        <v>45715</v>
      </c>
      <c r="I1082" s="287" t="s">
        <v>2975</v>
      </c>
      <c r="J1082" s="759"/>
    </row>
    <row r="1083" spans="1:10" x14ac:dyDescent="0.2">
      <c r="A1083" s="944">
        <v>39049007492</v>
      </c>
      <c r="B1083" s="239" t="s">
        <v>1101</v>
      </c>
      <c r="C1083" s="286" t="s">
        <v>2975</v>
      </c>
      <c r="D1083" s="865" t="s">
        <v>2975</v>
      </c>
      <c r="E1083" s="287" t="s">
        <v>3562</v>
      </c>
      <c r="F1083" s="287" t="s">
        <v>3559</v>
      </c>
      <c r="G1083" s="288" t="s">
        <v>3569</v>
      </c>
      <c r="H1083" s="287">
        <v>45716</v>
      </c>
      <c r="I1083" s="287" t="s">
        <v>2975</v>
      </c>
      <c r="J1083" s="759"/>
    </row>
    <row r="1084" spans="1:10" x14ac:dyDescent="0.2">
      <c r="A1084" s="944">
        <v>39049007494</v>
      </c>
      <c r="B1084" s="239" t="s">
        <v>1102</v>
      </c>
      <c r="C1084" s="286" t="s">
        <v>2975</v>
      </c>
      <c r="D1084" s="865" t="s">
        <v>2975</v>
      </c>
      <c r="E1084" s="287" t="s">
        <v>3563</v>
      </c>
      <c r="F1084" s="287" t="s">
        <v>3559</v>
      </c>
      <c r="G1084" s="288" t="s">
        <v>3569</v>
      </c>
      <c r="H1084" s="287">
        <v>45719</v>
      </c>
      <c r="I1084" s="287" t="s">
        <v>2975</v>
      </c>
      <c r="J1084" s="759"/>
    </row>
    <row r="1085" spans="1:10" x14ac:dyDescent="0.2">
      <c r="A1085" s="944">
        <v>39049007511</v>
      </c>
      <c r="B1085" s="239" t="s">
        <v>1103</v>
      </c>
      <c r="C1085" s="286" t="s">
        <v>4330</v>
      </c>
      <c r="D1085" s="865" t="s">
        <v>4330</v>
      </c>
      <c r="E1085" s="287" t="s">
        <v>3557</v>
      </c>
      <c r="F1085" s="287" t="s">
        <v>3558</v>
      </c>
      <c r="G1085" s="288" t="s">
        <v>3569</v>
      </c>
      <c r="H1085" s="287">
        <v>45721</v>
      </c>
      <c r="I1085" s="287" t="s">
        <v>2975</v>
      </c>
      <c r="J1085" s="759"/>
    </row>
    <row r="1086" spans="1:10" x14ac:dyDescent="0.2">
      <c r="A1086" s="944">
        <v>39049007512</v>
      </c>
      <c r="B1086" s="239" t="s">
        <v>1104</v>
      </c>
      <c r="C1086" s="286" t="s">
        <v>4330</v>
      </c>
      <c r="D1086" s="865" t="s">
        <v>4330</v>
      </c>
      <c r="E1086" s="287" t="s">
        <v>3557</v>
      </c>
      <c r="F1086" s="287" t="s">
        <v>5176</v>
      </c>
      <c r="G1086" s="288" t="s">
        <v>3569</v>
      </c>
      <c r="H1086" s="287">
        <v>45723</v>
      </c>
      <c r="I1086" s="287" t="s">
        <v>2975</v>
      </c>
      <c r="J1086" s="759"/>
    </row>
    <row r="1087" spans="1:10" x14ac:dyDescent="0.2">
      <c r="A1087" s="944">
        <v>39049007520</v>
      </c>
      <c r="B1087" s="239" t="s">
        <v>1105</v>
      </c>
      <c r="C1087" s="286" t="s">
        <v>4330</v>
      </c>
      <c r="D1087" s="865" t="s">
        <v>4330</v>
      </c>
      <c r="E1087" s="287" t="s">
        <v>3557</v>
      </c>
      <c r="F1087" s="287" t="s">
        <v>3559</v>
      </c>
      <c r="G1087" s="288" t="s">
        <v>3553</v>
      </c>
      <c r="H1087" s="287">
        <v>45724</v>
      </c>
      <c r="I1087" s="287" t="s">
        <v>2975</v>
      </c>
      <c r="J1087" s="759"/>
    </row>
    <row r="1088" spans="1:10" x14ac:dyDescent="0.2">
      <c r="A1088" s="944">
        <v>39049007531</v>
      </c>
      <c r="B1088" s="239" t="s">
        <v>1106</v>
      </c>
      <c r="C1088" s="286" t="s">
        <v>4330</v>
      </c>
      <c r="D1088" s="865" t="s">
        <v>4330</v>
      </c>
      <c r="E1088" s="287" t="s">
        <v>3557</v>
      </c>
      <c r="F1088" s="287" t="s">
        <v>3558</v>
      </c>
      <c r="G1088" s="288" t="s">
        <v>3569</v>
      </c>
      <c r="H1088" s="287">
        <v>45727</v>
      </c>
      <c r="I1088" s="287" t="s">
        <v>2975</v>
      </c>
      <c r="J1088" s="759"/>
    </row>
    <row r="1089" spans="1:10" x14ac:dyDescent="0.2">
      <c r="A1089" s="944">
        <v>39049007532</v>
      </c>
      <c r="B1089" s="239" t="s">
        <v>1107</v>
      </c>
      <c r="C1089" s="286" t="s">
        <v>4330</v>
      </c>
      <c r="D1089" s="865" t="s">
        <v>4330</v>
      </c>
      <c r="E1089" s="287" t="s">
        <v>3557</v>
      </c>
      <c r="F1089" s="287" t="s">
        <v>5177</v>
      </c>
      <c r="G1089" s="288" t="s">
        <v>3569</v>
      </c>
      <c r="H1089" s="287">
        <v>45729</v>
      </c>
      <c r="I1089" s="287" t="s">
        <v>2975</v>
      </c>
      <c r="J1089" s="759"/>
    </row>
    <row r="1090" spans="1:10" x14ac:dyDescent="0.2">
      <c r="A1090" s="944">
        <v>39049007533</v>
      </c>
      <c r="B1090" s="239" t="s">
        <v>1108</v>
      </c>
      <c r="C1090" s="286" t="s">
        <v>4330</v>
      </c>
      <c r="D1090" s="865" t="s">
        <v>4330</v>
      </c>
      <c r="E1090" s="287" t="s">
        <v>3557</v>
      </c>
      <c r="F1090" s="287" t="s">
        <v>3558</v>
      </c>
      <c r="G1090" s="288" t="s">
        <v>3569</v>
      </c>
      <c r="H1090" s="287">
        <v>45732</v>
      </c>
      <c r="I1090" s="287" t="s">
        <v>2975</v>
      </c>
      <c r="J1090" s="759"/>
    </row>
    <row r="1091" spans="1:10" x14ac:dyDescent="0.2">
      <c r="A1091" s="944">
        <v>39049007534</v>
      </c>
      <c r="B1091" s="239" t="s">
        <v>1109</v>
      </c>
      <c r="C1091" s="286" t="s">
        <v>4330</v>
      </c>
      <c r="D1091" s="865" t="s">
        <v>4330</v>
      </c>
      <c r="E1091" s="287" t="s">
        <v>3557</v>
      </c>
      <c r="F1091" s="287" t="s">
        <v>3559</v>
      </c>
      <c r="G1091" s="288" t="s">
        <v>3569</v>
      </c>
      <c r="H1091" s="287">
        <v>45734</v>
      </c>
      <c r="I1091" s="287" t="s">
        <v>2975</v>
      </c>
      <c r="J1091" s="759"/>
    </row>
    <row r="1092" spans="1:10" x14ac:dyDescent="0.2">
      <c r="A1092" s="944">
        <v>39049007550</v>
      </c>
      <c r="B1092" s="239" t="s">
        <v>1110</v>
      </c>
      <c r="C1092" s="286" t="s">
        <v>2975</v>
      </c>
      <c r="D1092" s="865" t="s">
        <v>2975</v>
      </c>
      <c r="E1092" s="287" t="s">
        <v>3564</v>
      </c>
      <c r="F1092" s="287" t="s">
        <v>5177</v>
      </c>
      <c r="G1092" s="288" t="s">
        <v>3569</v>
      </c>
      <c r="H1092" s="287">
        <v>45735</v>
      </c>
      <c r="I1092" s="287" t="s">
        <v>2975</v>
      </c>
      <c r="J1092" s="759"/>
    </row>
    <row r="1093" spans="1:10" x14ac:dyDescent="0.2">
      <c r="A1093" s="944">
        <v>39049007551</v>
      </c>
      <c r="B1093" s="239" t="s">
        <v>1111</v>
      </c>
      <c r="C1093" s="286" t="s">
        <v>4330</v>
      </c>
      <c r="D1093" s="865" t="s">
        <v>4330</v>
      </c>
      <c r="E1093" s="287" t="s">
        <v>3557</v>
      </c>
      <c r="F1093" s="287" t="s">
        <v>3558</v>
      </c>
      <c r="G1093" s="288" t="s">
        <v>3569</v>
      </c>
      <c r="H1093" s="287">
        <v>45740</v>
      </c>
      <c r="I1093" s="287" t="s">
        <v>2975</v>
      </c>
      <c r="J1093" s="759"/>
    </row>
    <row r="1094" spans="1:10" x14ac:dyDescent="0.2">
      <c r="A1094" s="944">
        <v>39049007710</v>
      </c>
      <c r="B1094" s="239" t="s">
        <v>1112</v>
      </c>
      <c r="C1094" s="286" t="s">
        <v>4330</v>
      </c>
      <c r="D1094" s="865" t="s">
        <v>4330</v>
      </c>
      <c r="E1094" s="287" t="s">
        <v>3557</v>
      </c>
      <c r="F1094" s="287" t="s">
        <v>3559</v>
      </c>
      <c r="G1094" s="288" t="s">
        <v>3569</v>
      </c>
      <c r="H1094" s="287">
        <v>45741</v>
      </c>
      <c r="I1094" s="287" t="s">
        <v>2975</v>
      </c>
      <c r="J1094" s="759"/>
    </row>
    <row r="1095" spans="1:10" x14ac:dyDescent="0.2">
      <c r="A1095" s="944">
        <v>39049007721</v>
      </c>
      <c r="B1095" s="239" t="s">
        <v>1113</v>
      </c>
      <c r="C1095" s="286" t="s">
        <v>4330</v>
      </c>
      <c r="D1095" s="865" t="s">
        <v>4330</v>
      </c>
      <c r="E1095" s="287" t="s">
        <v>3557</v>
      </c>
      <c r="F1095" s="287" t="s">
        <v>5177</v>
      </c>
      <c r="G1095" s="288" t="s">
        <v>3569</v>
      </c>
      <c r="H1095" s="287">
        <v>45742</v>
      </c>
      <c r="I1095" s="287" t="s">
        <v>2975</v>
      </c>
      <c r="J1095" s="759"/>
    </row>
    <row r="1096" spans="1:10" x14ac:dyDescent="0.2">
      <c r="A1096" s="944">
        <v>39049007722</v>
      </c>
      <c r="B1096" s="239" t="s">
        <v>1114</v>
      </c>
      <c r="C1096" s="286" t="s">
        <v>4330</v>
      </c>
      <c r="D1096" s="865" t="s">
        <v>4330</v>
      </c>
      <c r="E1096" s="287" t="s">
        <v>3557</v>
      </c>
      <c r="F1096" s="287" t="s">
        <v>3558</v>
      </c>
      <c r="G1096" s="288" t="s">
        <v>3569</v>
      </c>
      <c r="H1096" s="287">
        <v>45743</v>
      </c>
      <c r="I1096" s="287" t="s">
        <v>2975</v>
      </c>
      <c r="J1096" s="759"/>
    </row>
    <row r="1097" spans="1:10" x14ac:dyDescent="0.2">
      <c r="A1097" s="944">
        <v>39049007730</v>
      </c>
      <c r="B1097" s="239" t="s">
        <v>1115</v>
      </c>
      <c r="C1097" s="286" t="s">
        <v>2975</v>
      </c>
      <c r="D1097" s="865" t="s">
        <v>2975</v>
      </c>
      <c r="E1097" s="287" t="s">
        <v>3564</v>
      </c>
      <c r="F1097" s="287" t="s">
        <v>5177</v>
      </c>
      <c r="G1097" s="288" t="s">
        <v>3569</v>
      </c>
      <c r="H1097" s="287">
        <v>45744</v>
      </c>
      <c r="I1097" s="287" t="s">
        <v>2975</v>
      </c>
      <c r="J1097" s="759"/>
    </row>
    <row r="1098" spans="1:10" x14ac:dyDescent="0.2">
      <c r="A1098" s="944">
        <v>39049007740</v>
      </c>
      <c r="B1098" s="239" t="s">
        <v>1116</v>
      </c>
      <c r="C1098" s="286" t="s">
        <v>4330</v>
      </c>
      <c r="D1098" s="865" t="s">
        <v>4330</v>
      </c>
      <c r="E1098" s="287" t="s">
        <v>3564</v>
      </c>
      <c r="F1098" s="287" t="s">
        <v>3559</v>
      </c>
      <c r="G1098" s="288" t="s">
        <v>3569</v>
      </c>
      <c r="H1098" s="287">
        <v>45745</v>
      </c>
      <c r="I1098" s="287" t="s">
        <v>2975</v>
      </c>
      <c r="J1098" s="759"/>
    </row>
    <row r="1099" spans="1:10" x14ac:dyDescent="0.2">
      <c r="A1099" s="944">
        <v>39049007811</v>
      </c>
      <c r="B1099" s="239" t="s">
        <v>1117</v>
      </c>
      <c r="C1099" s="286" t="s">
        <v>2975</v>
      </c>
      <c r="D1099" s="865" t="s">
        <v>2975</v>
      </c>
      <c r="E1099" s="287" t="s">
        <v>3562</v>
      </c>
      <c r="F1099" s="287" t="s">
        <v>5177</v>
      </c>
      <c r="G1099" s="288" t="s">
        <v>3569</v>
      </c>
      <c r="H1099" s="287">
        <v>45746</v>
      </c>
      <c r="I1099" s="287" t="s">
        <v>2975</v>
      </c>
      <c r="J1099" s="759"/>
    </row>
    <row r="1100" spans="1:10" x14ac:dyDescent="0.2">
      <c r="A1100" s="944">
        <v>39049007812</v>
      </c>
      <c r="B1100" s="239" t="s">
        <v>1118</v>
      </c>
      <c r="C1100" s="286" t="s">
        <v>2975</v>
      </c>
      <c r="D1100" s="865" t="s">
        <v>2975</v>
      </c>
      <c r="E1100" s="287" t="s">
        <v>3562</v>
      </c>
      <c r="F1100" s="287" t="s">
        <v>3565</v>
      </c>
      <c r="G1100" s="288" t="s">
        <v>3569</v>
      </c>
      <c r="H1100" s="287">
        <v>45750</v>
      </c>
      <c r="I1100" s="287" t="s">
        <v>2975</v>
      </c>
      <c r="J1100" s="759"/>
    </row>
    <row r="1101" spans="1:10" x14ac:dyDescent="0.2">
      <c r="A1101" s="944">
        <v>39049007820</v>
      </c>
      <c r="B1101" s="239" t="s">
        <v>1119</v>
      </c>
      <c r="C1101" s="286" t="s">
        <v>4330</v>
      </c>
      <c r="D1101" s="865" t="s">
        <v>4330</v>
      </c>
      <c r="E1101" s="287" t="s">
        <v>3564</v>
      </c>
      <c r="F1101" s="287" t="s">
        <v>5176</v>
      </c>
      <c r="G1101" s="288" t="s">
        <v>3569</v>
      </c>
      <c r="H1101" s="287">
        <v>45760</v>
      </c>
      <c r="I1101" s="287" t="s">
        <v>2975</v>
      </c>
      <c r="J1101" s="759"/>
    </row>
    <row r="1102" spans="1:10" x14ac:dyDescent="0.2">
      <c r="A1102" s="944">
        <v>39049007830</v>
      </c>
      <c r="B1102" s="239" t="s">
        <v>1120</v>
      </c>
      <c r="C1102" s="286" t="s">
        <v>2975</v>
      </c>
      <c r="D1102" s="865" t="s">
        <v>4330</v>
      </c>
      <c r="E1102" s="287" t="s">
        <v>3562</v>
      </c>
      <c r="F1102" s="287" t="s">
        <v>5177</v>
      </c>
      <c r="G1102" s="288" t="s">
        <v>3553</v>
      </c>
      <c r="H1102" s="287">
        <v>45761</v>
      </c>
      <c r="I1102" s="287" t="s">
        <v>2975</v>
      </c>
      <c r="J1102" s="759"/>
    </row>
    <row r="1103" spans="1:10" x14ac:dyDescent="0.2">
      <c r="A1103" s="944">
        <v>39049007921</v>
      </c>
      <c r="B1103" s="239" t="s">
        <v>1121</v>
      </c>
      <c r="C1103" s="286" t="s">
        <v>2975</v>
      </c>
      <c r="D1103" s="865" t="s">
        <v>2975</v>
      </c>
      <c r="E1103" s="287" t="s">
        <v>3563</v>
      </c>
      <c r="F1103" s="287" t="s">
        <v>3559</v>
      </c>
      <c r="G1103" s="288" t="s">
        <v>3569</v>
      </c>
      <c r="H1103" s="287">
        <v>45764</v>
      </c>
      <c r="I1103" s="287" t="s">
        <v>2975</v>
      </c>
      <c r="J1103" s="759"/>
    </row>
    <row r="1104" spans="1:10" x14ac:dyDescent="0.2">
      <c r="A1104" s="944">
        <v>39049007922</v>
      </c>
      <c r="B1104" s="239" t="s">
        <v>1122</v>
      </c>
      <c r="C1104" s="286" t="s">
        <v>2975</v>
      </c>
      <c r="D1104" s="865" t="s">
        <v>2975</v>
      </c>
      <c r="E1104" s="287" t="s">
        <v>3562</v>
      </c>
      <c r="F1104" s="287" t="s">
        <v>3558</v>
      </c>
      <c r="G1104" s="288" t="s">
        <v>3569</v>
      </c>
      <c r="H1104" s="287">
        <v>45766</v>
      </c>
      <c r="I1104" s="287" t="s">
        <v>2975</v>
      </c>
      <c r="J1104" s="759"/>
    </row>
    <row r="1105" spans="1:10" x14ac:dyDescent="0.2">
      <c r="A1105" s="944">
        <v>39049007931</v>
      </c>
      <c r="B1105" s="239" t="s">
        <v>1123</v>
      </c>
      <c r="C1105" s="286" t="s">
        <v>2975</v>
      </c>
      <c r="D1105" s="865" t="s">
        <v>2975</v>
      </c>
      <c r="E1105" s="287" t="s">
        <v>3566</v>
      </c>
      <c r="F1105" s="287" t="s">
        <v>3565</v>
      </c>
      <c r="G1105" s="288" t="s">
        <v>3569</v>
      </c>
      <c r="H1105" s="287">
        <v>45767</v>
      </c>
      <c r="I1105" s="287" t="s">
        <v>2975</v>
      </c>
      <c r="J1105" s="759"/>
    </row>
    <row r="1106" spans="1:10" x14ac:dyDescent="0.2">
      <c r="A1106" s="944">
        <v>39049007933</v>
      </c>
      <c r="B1106" s="239" t="s">
        <v>1124</v>
      </c>
      <c r="C1106" s="286" t="s">
        <v>2975</v>
      </c>
      <c r="D1106" s="865" t="s">
        <v>2975</v>
      </c>
      <c r="E1106" s="287" t="s">
        <v>3563</v>
      </c>
      <c r="F1106" s="287" t="s">
        <v>5177</v>
      </c>
      <c r="G1106" s="288" t="s">
        <v>3569</v>
      </c>
      <c r="H1106" s="287">
        <v>45768</v>
      </c>
      <c r="I1106" s="287" t="s">
        <v>2975</v>
      </c>
      <c r="J1106" s="759"/>
    </row>
    <row r="1107" spans="1:10" x14ac:dyDescent="0.2">
      <c r="A1107" s="944">
        <v>39049007941</v>
      </c>
      <c r="B1107" s="239" t="s">
        <v>1125</v>
      </c>
      <c r="C1107" s="286" t="s">
        <v>2975</v>
      </c>
      <c r="D1107" s="865" t="s">
        <v>2975</v>
      </c>
      <c r="E1107" s="287" t="s">
        <v>3563</v>
      </c>
      <c r="F1107" s="287" t="s">
        <v>5177</v>
      </c>
      <c r="G1107" s="288" t="s">
        <v>3569</v>
      </c>
      <c r="H1107" s="287">
        <v>45769</v>
      </c>
      <c r="I1107" s="287" t="s">
        <v>2975</v>
      </c>
      <c r="J1107" s="759"/>
    </row>
    <row r="1108" spans="1:10" x14ac:dyDescent="0.2">
      <c r="A1108" s="944">
        <v>39049007951</v>
      </c>
      <c r="B1108" s="239" t="s">
        <v>1126</v>
      </c>
      <c r="C1108" s="286" t="s">
        <v>2975</v>
      </c>
      <c r="D1108" s="865" t="s">
        <v>2975</v>
      </c>
      <c r="E1108" s="287" t="s">
        <v>3562</v>
      </c>
      <c r="F1108" s="287" t="s">
        <v>3565</v>
      </c>
      <c r="G1108" s="288" t="s">
        <v>3569</v>
      </c>
      <c r="H1108" s="287">
        <v>45770</v>
      </c>
      <c r="I1108" s="287" t="s">
        <v>2975</v>
      </c>
      <c r="J1108" s="759"/>
    </row>
    <row r="1109" spans="1:10" x14ac:dyDescent="0.2">
      <c r="A1109" s="944">
        <v>39049007952</v>
      </c>
      <c r="B1109" s="239" t="s">
        <v>1127</v>
      </c>
      <c r="C1109" s="286" t="s">
        <v>2975</v>
      </c>
      <c r="D1109" s="865" t="s">
        <v>2975</v>
      </c>
      <c r="E1109" s="287" t="s">
        <v>3562</v>
      </c>
      <c r="F1109" s="287" t="s">
        <v>5176</v>
      </c>
      <c r="G1109" s="288" t="s">
        <v>3569</v>
      </c>
      <c r="H1109" s="287">
        <v>45771</v>
      </c>
      <c r="I1109" s="287" t="s">
        <v>2975</v>
      </c>
      <c r="J1109" s="759"/>
    </row>
    <row r="1110" spans="1:10" x14ac:dyDescent="0.2">
      <c r="A1110" s="944">
        <v>39049007953</v>
      </c>
      <c r="B1110" s="239" t="s">
        <v>1128</v>
      </c>
      <c r="C1110" s="286" t="s">
        <v>2975</v>
      </c>
      <c r="D1110" s="865" t="s">
        <v>2975</v>
      </c>
      <c r="E1110" s="287" t="s">
        <v>3566</v>
      </c>
      <c r="F1110" s="287" t="s">
        <v>3565</v>
      </c>
      <c r="G1110" s="288" t="s">
        <v>3569</v>
      </c>
      <c r="H1110" s="287">
        <v>45772</v>
      </c>
      <c r="I1110" s="287" t="s">
        <v>2975</v>
      </c>
      <c r="J1110" s="759"/>
    </row>
    <row r="1111" spans="1:10" x14ac:dyDescent="0.2">
      <c r="A1111" s="944">
        <v>39049007954</v>
      </c>
      <c r="B1111" s="239" t="s">
        <v>1129</v>
      </c>
      <c r="C1111" s="286" t="s">
        <v>2975</v>
      </c>
      <c r="D1111" s="865" t="s">
        <v>2975</v>
      </c>
      <c r="E1111" s="287" t="s">
        <v>3563</v>
      </c>
      <c r="F1111" s="287" t="s">
        <v>5177</v>
      </c>
      <c r="G1111" s="288" t="s">
        <v>3569</v>
      </c>
      <c r="H1111" s="287">
        <v>45773</v>
      </c>
      <c r="I1111" s="287" t="s">
        <v>2975</v>
      </c>
      <c r="J1111" s="759"/>
    </row>
    <row r="1112" spans="1:10" x14ac:dyDescent="0.2">
      <c r="A1112" s="944">
        <v>39049008000</v>
      </c>
      <c r="B1112" s="239" t="s">
        <v>1130</v>
      </c>
      <c r="C1112" s="286" t="s">
        <v>2975</v>
      </c>
      <c r="D1112" s="865" t="s">
        <v>2975</v>
      </c>
      <c r="E1112" s="287" t="s">
        <v>3562</v>
      </c>
      <c r="F1112" s="287" t="s">
        <v>3558</v>
      </c>
      <c r="G1112" s="288" t="s">
        <v>3568</v>
      </c>
      <c r="H1112" s="287">
        <v>45775</v>
      </c>
      <c r="I1112" s="287" t="s">
        <v>2975</v>
      </c>
      <c r="J1112" s="759"/>
    </row>
    <row r="1113" spans="1:10" x14ac:dyDescent="0.2">
      <c r="A1113" s="944">
        <v>39049008110</v>
      </c>
      <c r="B1113" s="239" t="s">
        <v>1131</v>
      </c>
      <c r="C1113" s="286" t="s">
        <v>2975</v>
      </c>
      <c r="D1113" s="865" t="s">
        <v>2975</v>
      </c>
      <c r="E1113" s="287" t="s">
        <v>3564</v>
      </c>
      <c r="F1113" s="287" t="s">
        <v>3558</v>
      </c>
      <c r="G1113" s="288" t="s">
        <v>3569</v>
      </c>
      <c r="H1113" s="287">
        <v>45776</v>
      </c>
      <c r="I1113" s="287" t="s">
        <v>2975</v>
      </c>
      <c r="J1113" s="759"/>
    </row>
    <row r="1114" spans="1:10" x14ac:dyDescent="0.2">
      <c r="A1114" s="944">
        <v>39049008120</v>
      </c>
      <c r="B1114" s="239" t="s">
        <v>1132</v>
      </c>
      <c r="C1114" s="286" t="s">
        <v>4330</v>
      </c>
      <c r="D1114" s="865" t="s">
        <v>2975</v>
      </c>
      <c r="E1114" s="287" t="s">
        <v>3564</v>
      </c>
      <c r="F1114" s="287" t="s">
        <v>3558</v>
      </c>
      <c r="G1114" s="288" t="s">
        <v>3569</v>
      </c>
      <c r="H1114" s="287">
        <v>45778</v>
      </c>
      <c r="I1114" s="287" t="s">
        <v>2975</v>
      </c>
      <c r="J1114" s="759"/>
    </row>
    <row r="1115" spans="1:10" x14ac:dyDescent="0.2">
      <c r="A1115" s="944">
        <v>39049008132</v>
      </c>
      <c r="B1115" s="239" t="s">
        <v>1133</v>
      </c>
      <c r="C1115" s="286" t="s">
        <v>4330</v>
      </c>
      <c r="D1115" s="865" t="s">
        <v>4330</v>
      </c>
      <c r="E1115" s="287" t="s">
        <v>3564</v>
      </c>
      <c r="F1115" s="287" t="s">
        <v>3565</v>
      </c>
      <c r="G1115" s="288" t="s">
        <v>3569</v>
      </c>
      <c r="H1115" s="287">
        <v>45779</v>
      </c>
      <c r="I1115" s="287" t="s">
        <v>2975</v>
      </c>
      <c r="J1115" s="759"/>
    </row>
    <row r="1116" spans="1:10" x14ac:dyDescent="0.2">
      <c r="A1116" s="944">
        <v>39049008141</v>
      </c>
      <c r="B1116" s="239" t="s">
        <v>1134</v>
      </c>
      <c r="C1116" s="286" t="s">
        <v>2975</v>
      </c>
      <c r="D1116" s="865" t="s">
        <v>2975</v>
      </c>
      <c r="E1116" s="287" t="s">
        <v>3564</v>
      </c>
      <c r="F1116" s="287" t="s">
        <v>3558</v>
      </c>
      <c r="G1116" s="288" t="s">
        <v>3569</v>
      </c>
      <c r="H1116" s="287">
        <v>45780</v>
      </c>
      <c r="I1116" s="287" t="s">
        <v>2975</v>
      </c>
      <c r="J1116" s="759"/>
    </row>
    <row r="1117" spans="1:10" x14ac:dyDescent="0.2">
      <c r="A1117" s="944">
        <v>39049008142</v>
      </c>
      <c r="B1117" s="239" t="s">
        <v>1135</v>
      </c>
      <c r="C1117" s="286" t="s">
        <v>2975</v>
      </c>
      <c r="D1117" s="865" t="s">
        <v>2975</v>
      </c>
      <c r="E1117" s="287" t="s">
        <v>3566</v>
      </c>
      <c r="F1117" s="287" t="s">
        <v>3565</v>
      </c>
      <c r="G1117" s="288" t="s">
        <v>3569</v>
      </c>
      <c r="H1117" s="287">
        <v>45782</v>
      </c>
      <c r="I1117" s="287" t="s">
        <v>2975</v>
      </c>
      <c r="J1117" s="759"/>
    </row>
    <row r="1118" spans="1:10" x14ac:dyDescent="0.2">
      <c r="A1118" s="944">
        <v>39049008161</v>
      </c>
      <c r="B1118" s="239" t="s">
        <v>1136</v>
      </c>
      <c r="C1118" s="286" t="s">
        <v>2975</v>
      </c>
      <c r="D1118" s="865" t="s">
        <v>2975</v>
      </c>
      <c r="E1118" s="287" t="s">
        <v>3564</v>
      </c>
      <c r="F1118" s="287" t="s">
        <v>3558</v>
      </c>
      <c r="G1118" s="288" t="s">
        <v>3569</v>
      </c>
      <c r="H1118" s="287">
        <v>45784</v>
      </c>
      <c r="I1118" s="287" t="s">
        <v>2975</v>
      </c>
      <c r="J1118" s="759"/>
    </row>
    <row r="1119" spans="1:10" x14ac:dyDescent="0.2">
      <c r="A1119" s="944">
        <v>39049008162</v>
      </c>
      <c r="B1119" s="239" t="s">
        <v>1137</v>
      </c>
      <c r="C1119" s="286" t="s">
        <v>2975</v>
      </c>
      <c r="D1119" s="865" t="s">
        <v>2975</v>
      </c>
      <c r="E1119" s="287" t="s">
        <v>3566</v>
      </c>
      <c r="F1119" s="287" t="s">
        <v>5177</v>
      </c>
      <c r="G1119" s="288" t="s">
        <v>3568</v>
      </c>
      <c r="H1119" s="287">
        <v>45786</v>
      </c>
      <c r="I1119" s="287" t="s">
        <v>2975</v>
      </c>
      <c r="J1119" s="759"/>
    </row>
    <row r="1120" spans="1:10" x14ac:dyDescent="0.2">
      <c r="A1120" s="944">
        <v>39049008163</v>
      </c>
      <c r="B1120" s="239" t="s">
        <v>1138</v>
      </c>
      <c r="C1120" s="286" t="s">
        <v>4330</v>
      </c>
      <c r="D1120" s="865" t="s">
        <v>4330</v>
      </c>
      <c r="E1120" s="287" t="s">
        <v>3564</v>
      </c>
      <c r="F1120" s="287" t="s">
        <v>3559</v>
      </c>
      <c r="G1120" s="288" t="s">
        <v>3569</v>
      </c>
      <c r="H1120" s="287">
        <v>45787</v>
      </c>
      <c r="I1120" s="287" t="s">
        <v>2975</v>
      </c>
      <c r="J1120" s="759"/>
    </row>
    <row r="1121" spans="1:10" x14ac:dyDescent="0.2">
      <c r="A1121" s="944">
        <v>39049008164</v>
      </c>
      <c r="B1121" s="239" t="s">
        <v>1139</v>
      </c>
      <c r="C1121" s="286" t="s">
        <v>4330</v>
      </c>
      <c r="D1121" s="865" t="s">
        <v>4330</v>
      </c>
      <c r="E1121" s="287" t="s">
        <v>3564</v>
      </c>
      <c r="F1121" s="287" t="s">
        <v>3559</v>
      </c>
      <c r="G1121" s="288" t="s">
        <v>3569</v>
      </c>
      <c r="H1121" s="287">
        <v>45788</v>
      </c>
      <c r="I1121" s="287" t="s">
        <v>2975</v>
      </c>
      <c r="J1121" s="759"/>
    </row>
    <row r="1122" spans="1:10" x14ac:dyDescent="0.2">
      <c r="A1122" s="944">
        <v>39049008210</v>
      </c>
      <c r="B1122" s="239" t="s">
        <v>1140</v>
      </c>
      <c r="C1122" s="286" t="s">
        <v>4330</v>
      </c>
      <c r="D1122" s="865" t="s">
        <v>4330</v>
      </c>
      <c r="E1122" s="287" t="s">
        <v>3557</v>
      </c>
      <c r="F1122" s="287" t="s">
        <v>5176</v>
      </c>
      <c r="G1122" s="288" t="s">
        <v>3569</v>
      </c>
      <c r="H1122" s="287">
        <v>45789</v>
      </c>
      <c r="I1122" s="287" t="s">
        <v>2975</v>
      </c>
      <c r="J1122" s="759"/>
    </row>
    <row r="1123" spans="1:10" x14ac:dyDescent="0.2">
      <c r="A1123" s="944">
        <v>39049008230</v>
      </c>
      <c r="B1123" s="239" t="s">
        <v>1141</v>
      </c>
      <c r="C1123" s="286" t="s">
        <v>4330</v>
      </c>
      <c r="D1123" s="865" t="s">
        <v>4330</v>
      </c>
      <c r="E1123" s="287" t="s">
        <v>3557</v>
      </c>
      <c r="F1123" s="287" t="s">
        <v>5177</v>
      </c>
      <c r="G1123" s="288" t="s">
        <v>3569</v>
      </c>
      <c r="H1123" s="287">
        <v>45801</v>
      </c>
      <c r="I1123" s="287" t="s">
        <v>2975</v>
      </c>
      <c r="J1123" s="759"/>
    </row>
    <row r="1124" spans="1:10" x14ac:dyDescent="0.2">
      <c r="A1124" s="944">
        <v>39049008241</v>
      </c>
      <c r="B1124" s="239" t="s">
        <v>1142</v>
      </c>
      <c r="C1124" s="286" t="s">
        <v>4330</v>
      </c>
      <c r="D1124" s="865" t="s">
        <v>4330</v>
      </c>
      <c r="E1124" s="287" t="s">
        <v>3564</v>
      </c>
      <c r="F1124" s="287" t="s">
        <v>3558</v>
      </c>
      <c r="G1124" s="288" t="s">
        <v>3569</v>
      </c>
      <c r="H1124" s="287">
        <v>45804</v>
      </c>
      <c r="I1124" s="287" t="s">
        <v>2975</v>
      </c>
      <c r="J1124" s="759"/>
    </row>
    <row r="1125" spans="1:10" x14ac:dyDescent="0.2">
      <c r="A1125" s="944">
        <v>39049008242</v>
      </c>
      <c r="B1125" s="239" t="s">
        <v>1143</v>
      </c>
      <c r="C1125" s="286" t="s">
        <v>2975</v>
      </c>
      <c r="D1125" s="865" t="s">
        <v>2975</v>
      </c>
      <c r="E1125" s="287" t="s">
        <v>3566</v>
      </c>
      <c r="F1125" s="287" t="s">
        <v>3565</v>
      </c>
      <c r="G1125" s="288" t="s">
        <v>3569</v>
      </c>
      <c r="H1125" s="287">
        <v>45805</v>
      </c>
      <c r="I1125" s="287" t="s">
        <v>2975</v>
      </c>
      <c r="J1125" s="759"/>
    </row>
    <row r="1126" spans="1:10" x14ac:dyDescent="0.2">
      <c r="A1126" s="944">
        <v>39049008311</v>
      </c>
      <c r="B1126" s="239" t="s">
        <v>1144</v>
      </c>
      <c r="C1126" s="286" t="s">
        <v>4330</v>
      </c>
      <c r="D1126" s="865" t="s">
        <v>4330</v>
      </c>
      <c r="E1126" s="287" t="s">
        <v>3557</v>
      </c>
      <c r="F1126" s="287" t="s">
        <v>3558</v>
      </c>
      <c r="G1126" s="288" t="s">
        <v>3569</v>
      </c>
      <c r="H1126" s="287">
        <v>45806</v>
      </c>
      <c r="I1126" s="287" t="s">
        <v>2975</v>
      </c>
      <c r="J1126" s="759"/>
    </row>
    <row r="1127" spans="1:10" x14ac:dyDescent="0.2">
      <c r="A1127" s="944">
        <v>39049008312</v>
      </c>
      <c r="B1127" s="239" t="s">
        <v>1145</v>
      </c>
      <c r="C1127" s="286" t="s">
        <v>4330</v>
      </c>
      <c r="D1127" s="865" t="s">
        <v>4330</v>
      </c>
      <c r="E1127" s="287" t="s">
        <v>3557</v>
      </c>
      <c r="F1127" s="287" t="s">
        <v>5177</v>
      </c>
      <c r="G1127" s="288" t="s">
        <v>3569</v>
      </c>
      <c r="H1127" s="287">
        <v>45807</v>
      </c>
      <c r="I1127" s="287" t="s">
        <v>2975</v>
      </c>
      <c r="J1127" s="759"/>
    </row>
    <row r="1128" spans="1:10" x14ac:dyDescent="0.2">
      <c r="A1128" s="944">
        <v>39049008321</v>
      </c>
      <c r="B1128" s="239" t="s">
        <v>1146</v>
      </c>
      <c r="C1128" s="286" t="s">
        <v>2975</v>
      </c>
      <c r="D1128" s="865" t="s">
        <v>2975</v>
      </c>
      <c r="E1128" s="287" t="s">
        <v>3564</v>
      </c>
      <c r="F1128" s="287" t="s">
        <v>5177</v>
      </c>
      <c r="G1128" s="288" t="s">
        <v>3569</v>
      </c>
      <c r="H1128" s="287">
        <v>45808</v>
      </c>
      <c r="I1128" s="287" t="s">
        <v>2975</v>
      </c>
      <c r="J1128" s="759"/>
    </row>
    <row r="1129" spans="1:10" x14ac:dyDescent="0.2">
      <c r="A1129" s="944">
        <v>39049008322</v>
      </c>
      <c r="B1129" s="239" t="s">
        <v>1147</v>
      </c>
      <c r="C1129" s="286" t="s">
        <v>4330</v>
      </c>
      <c r="D1129" s="865" t="s">
        <v>4330</v>
      </c>
      <c r="E1129" s="287" t="s">
        <v>3566</v>
      </c>
      <c r="F1129" s="287" t="s">
        <v>5177</v>
      </c>
      <c r="G1129" s="288" t="s">
        <v>3553</v>
      </c>
      <c r="H1129" s="287">
        <v>45809</v>
      </c>
      <c r="I1129" s="287" t="s">
        <v>2975</v>
      </c>
      <c r="J1129" s="759"/>
    </row>
    <row r="1130" spans="1:10" x14ac:dyDescent="0.2">
      <c r="A1130" s="944">
        <v>39049008330</v>
      </c>
      <c r="B1130" s="239" t="s">
        <v>1148</v>
      </c>
      <c r="C1130" s="286" t="s">
        <v>4330</v>
      </c>
      <c r="D1130" s="865" t="s">
        <v>4330</v>
      </c>
      <c r="E1130" s="287" t="s">
        <v>3564</v>
      </c>
      <c r="F1130" s="287" t="s">
        <v>5176</v>
      </c>
      <c r="G1130" s="288" t="s">
        <v>3569</v>
      </c>
      <c r="H1130" s="287">
        <v>45810</v>
      </c>
      <c r="I1130" s="287" t="s">
        <v>2975</v>
      </c>
      <c r="J1130" s="759"/>
    </row>
    <row r="1131" spans="1:10" x14ac:dyDescent="0.2">
      <c r="A1131" s="944">
        <v>39049008340</v>
      </c>
      <c r="B1131" s="239" t="s">
        <v>1149</v>
      </c>
      <c r="C1131" s="286" t="s">
        <v>2975</v>
      </c>
      <c r="D1131" s="865" t="s">
        <v>2975</v>
      </c>
      <c r="E1131" s="287" t="s">
        <v>3564</v>
      </c>
      <c r="F1131" s="287" t="s">
        <v>5177</v>
      </c>
      <c r="G1131" s="288" t="s">
        <v>3569</v>
      </c>
      <c r="H1131" s="287">
        <v>45812</v>
      </c>
      <c r="I1131" s="287" t="s">
        <v>2975</v>
      </c>
      <c r="J1131" s="759"/>
    </row>
    <row r="1132" spans="1:10" x14ac:dyDescent="0.2">
      <c r="A1132" s="944">
        <v>39049008350</v>
      </c>
      <c r="B1132" s="239" t="s">
        <v>1150</v>
      </c>
      <c r="C1132" s="286" t="s">
        <v>4330</v>
      </c>
      <c r="D1132" s="865" t="s">
        <v>4330</v>
      </c>
      <c r="E1132" s="287" t="s">
        <v>3557</v>
      </c>
      <c r="F1132" s="287" t="s">
        <v>5177</v>
      </c>
      <c r="G1132" s="288" t="s">
        <v>3569</v>
      </c>
      <c r="H1132" s="287">
        <v>45813</v>
      </c>
      <c r="I1132" s="287" t="s">
        <v>2975</v>
      </c>
      <c r="J1132" s="759"/>
    </row>
    <row r="1133" spans="1:10" x14ac:dyDescent="0.2">
      <c r="A1133" s="944">
        <v>39049008360</v>
      </c>
      <c r="B1133" s="239" t="s">
        <v>1151</v>
      </c>
      <c r="C1133" s="286" t="s">
        <v>2975</v>
      </c>
      <c r="D1133" s="865" t="s">
        <v>2975</v>
      </c>
      <c r="E1133" s="287" t="s">
        <v>3564</v>
      </c>
      <c r="F1133" s="287" t="s">
        <v>3559</v>
      </c>
      <c r="G1133" s="288" t="s">
        <v>3569</v>
      </c>
      <c r="H1133" s="287">
        <v>45814</v>
      </c>
      <c r="I1133" s="287" t="s">
        <v>2975</v>
      </c>
      <c r="J1133" s="759"/>
    </row>
    <row r="1134" spans="1:10" x14ac:dyDescent="0.2">
      <c r="A1134" s="944">
        <v>39049008370</v>
      </c>
      <c r="B1134" s="239" t="s">
        <v>1152</v>
      </c>
      <c r="C1134" s="286" t="s">
        <v>2975</v>
      </c>
      <c r="D1134" s="865" t="s">
        <v>2975</v>
      </c>
      <c r="E1134" s="287" t="s">
        <v>3566</v>
      </c>
      <c r="F1134" s="287" t="s">
        <v>5177</v>
      </c>
      <c r="G1134" s="288" t="s">
        <v>3569</v>
      </c>
      <c r="H1134" s="287">
        <v>45816</v>
      </c>
      <c r="I1134" s="287" t="s">
        <v>2975</v>
      </c>
      <c r="J1134" s="759"/>
    </row>
    <row r="1135" spans="1:10" x14ac:dyDescent="0.2">
      <c r="A1135" s="944">
        <v>39049008380</v>
      </c>
      <c r="B1135" s="239" t="s">
        <v>1153</v>
      </c>
      <c r="C1135" s="286" t="s">
        <v>2975</v>
      </c>
      <c r="D1135" s="865" t="s">
        <v>2975</v>
      </c>
      <c r="E1135" s="287" t="s">
        <v>3564</v>
      </c>
      <c r="F1135" s="287" t="s">
        <v>5177</v>
      </c>
      <c r="G1135" s="288" t="s">
        <v>3569</v>
      </c>
      <c r="H1135" s="287">
        <v>45817</v>
      </c>
      <c r="I1135" s="287" t="s">
        <v>2975</v>
      </c>
      <c r="J1135" s="759"/>
    </row>
    <row r="1136" spans="1:10" x14ac:dyDescent="0.2">
      <c r="A1136" s="944">
        <v>39049008400</v>
      </c>
      <c r="B1136" s="239" t="s">
        <v>1154</v>
      </c>
      <c r="C1136" s="286" t="s">
        <v>2975</v>
      </c>
      <c r="D1136" s="865" t="s">
        <v>2975</v>
      </c>
      <c r="E1136" s="287" t="s">
        <v>3562</v>
      </c>
      <c r="F1136" s="287" t="s">
        <v>3565</v>
      </c>
      <c r="G1136" s="288" t="s">
        <v>3569</v>
      </c>
      <c r="H1136" s="287">
        <v>45819</v>
      </c>
      <c r="I1136" s="287" t="s">
        <v>2975</v>
      </c>
      <c r="J1136" s="759"/>
    </row>
    <row r="1137" spans="1:10" x14ac:dyDescent="0.2">
      <c r="A1137" s="944">
        <v>39049008500</v>
      </c>
      <c r="B1137" s="239" t="s">
        <v>1155</v>
      </c>
      <c r="C1137" s="286" t="s">
        <v>2975</v>
      </c>
      <c r="D1137" s="865" t="s">
        <v>2975</v>
      </c>
      <c r="E1137" s="287" t="s">
        <v>3562</v>
      </c>
      <c r="F1137" s="287" t="s">
        <v>5177</v>
      </c>
      <c r="G1137" s="288" t="s">
        <v>3569</v>
      </c>
      <c r="H1137" s="287">
        <v>45820</v>
      </c>
      <c r="I1137" s="287" t="s">
        <v>2975</v>
      </c>
      <c r="J1137" s="759"/>
    </row>
    <row r="1138" spans="1:10" x14ac:dyDescent="0.2">
      <c r="A1138" s="944">
        <v>39049008710</v>
      </c>
      <c r="B1138" s="239" t="s">
        <v>1156</v>
      </c>
      <c r="C1138" s="286" t="s">
        <v>2975</v>
      </c>
      <c r="D1138" s="865" t="s">
        <v>2975</v>
      </c>
      <c r="E1138" s="287" t="s">
        <v>3566</v>
      </c>
      <c r="F1138" s="287" t="s">
        <v>3559</v>
      </c>
      <c r="G1138" s="288" t="s">
        <v>3553</v>
      </c>
      <c r="H1138" s="287">
        <v>45821</v>
      </c>
      <c r="I1138" s="287" t="s">
        <v>2975</v>
      </c>
      <c r="J1138" s="759"/>
    </row>
    <row r="1139" spans="1:10" x14ac:dyDescent="0.2">
      <c r="A1139" s="944">
        <v>39049008720</v>
      </c>
      <c r="B1139" s="239" t="s">
        <v>1157</v>
      </c>
      <c r="C1139" s="286" t="s">
        <v>4330</v>
      </c>
      <c r="D1139" s="865" t="s">
        <v>4330</v>
      </c>
      <c r="E1139" s="287" t="s">
        <v>3557</v>
      </c>
      <c r="F1139" s="287" t="s">
        <v>5177</v>
      </c>
      <c r="G1139" s="288" t="s">
        <v>3569</v>
      </c>
      <c r="H1139" s="287">
        <v>45822</v>
      </c>
      <c r="I1139" s="287" t="s">
        <v>2975</v>
      </c>
      <c r="J1139" s="759"/>
    </row>
    <row r="1140" spans="1:10" x14ac:dyDescent="0.2">
      <c r="A1140" s="944">
        <v>39049008730</v>
      </c>
      <c r="B1140" s="239" t="s">
        <v>1158</v>
      </c>
      <c r="C1140" s="286" t="s">
        <v>4330</v>
      </c>
      <c r="D1140" s="865" t="s">
        <v>4330</v>
      </c>
      <c r="E1140" s="287" t="s">
        <v>3557</v>
      </c>
      <c r="F1140" s="287" t="s">
        <v>3559</v>
      </c>
      <c r="G1140" s="288" t="s">
        <v>3569</v>
      </c>
      <c r="H1140" s="287">
        <v>45826</v>
      </c>
      <c r="I1140" s="287" t="s">
        <v>2975</v>
      </c>
      <c r="J1140" s="759"/>
    </row>
    <row r="1141" spans="1:10" x14ac:dyDescent="0.2">
      <c r="A1141" s="944">
        <v>39049008811</v>
      </c>
      <c r="B1141" s="239" t="s">
        <v>1159</v>
      </c>
      <c r="C1141" s="286" t="s">
        <v>4330</v>
      </c>
      <c r="D1141" s="865" t="s">
        <v>4330</v>
      </c>
      <c r="E1141" s="287" t="s">
        <v>3557</v>
      </c>
      <c r="F1141" s="287" t="s">
        <v>3558</v>
      </c>
      <c r="G1141" s="288" t="s">
        <v>3569</v>
      </c>
      <c r="H1141" s="287">
        <v>45827</v>
      </c>
      <c r="I1141" s="287" t="s">
        <v>2975</v>
      </c>
      <c r="J1141" s="759"/>
    </row>
    <row r="1142" spans="1:10" x14ac:dyDescent="0.2">
      <c r="A1142" s="944">
        <v>39049008812</v>
      </c>
      <c r="B1142" s="239" t="s">
        <v>1160</v>
      </c>
      <c r="C1142" s="286" t="s">
        <v>2975</v>
      </c>
      <c r="D1142" s="865" t="s">
        <v>2975</v>
      </c>
      <c r="E1142" s="287" t="s">
        <v>3557</v>
      </c>
      <c r="F1142" s="287" t="s">
        <v>3559</v>
      </c>
      <c r="G1142" s="288" t="s">
        <v>3569</v>
      </c>
      <c r="H1142" s="287">
        <v>45828</v>
      </c>
      <c r="I1142" s="287" t="s">
        <v>2975</v>
      </c>
      <c r="J1142" s="759"/>
    </row>
    <row r="1143" spans="1:10" x14ac:dyDescent="0.2">
      <c r="A1143" s="944">
        <v>39049008813</v>
      </c>
      <c r="B1143" s="239" t="s">
        <v>1161</v>
      </c>
      <c r="C1143" s="286" t="s">
        <v>4330</v>
      </c>
      <c r="D1143" s="865" t="s">
        <v>4330</v>
      </c>
      <c r="E1143" s="287" t="s">
        <v>3557</v>
      </c>
      <c r="F1143" s="287" t="s">
        <v>3565</v>
      </c>
      <c r="G1143" s="288" t="s">
        <v>3569</v>
      </c>
      <c r="H1143" s="287">
        <v>45830</v>
      </c>
      <c r="I1143" s="287" t="s">
        <v>2975</v>
      </c>
      <c r="J1143" s="759"/>
    </row>
    <row r="1144" spans="1:10" x14ac:dyDescent="0.2">
      <c r="A1144" s="944">
        <v>39049008821</v>
      </c>
      <c r="B1144" s="239" t="s">
        <v>1162</v>
      </c>
      <c r="C1144" s="286" t="s">
        <v>4330</v>
      </c>
      <c r="D1144" s="865" t="s">
        <v>4330</v>
      </c>
      <c r="E1144" s="287" t="s">
        <v>3564</v>
      </c>
      <c r="F1144" s="287" t="s">
        <v>3558</v>
      </c>
      <c r="G1144" s="288" t="s">
        <v>3569</v>
      </c>
      <c r="H1144" s="287">
        <v>45831</v>
      </c>
      <c r="I1144" s="287" t="s">
        <v>2975</v>
      </c>
      <c r="J1144" s="759"/>
    </row>
    <row r="1145" spans="1:10" x14ac:dyDescent="0.2">
      <c r="A1145" s="944">
        <v>39049008822</v>
      </c>
      <c r="B1145" s="239" t="s">
        <v>1163</v>
      </c>
      <c r="C1145" s="286" t="s">
        <v>4330</v>
      </c>
      <c r="D1145" s="865" t="s">
        <v>4330</v>
      </c>
      <c r="E1145" s="287" t="s">
        <v>3557</v>
      </c>
      <c r="F1145" s="287" t="s">
        <v>3559</v>
      </c>
      <c r="G1145" s="288" t="s">
        <v>3569</v>
      </c>
      <c r="H1145" s="287">
        <v>45832</v>
      </c>
      <c r="I1145" s="287" t="s">
        <v>2975</v>
      </c>
      <c r="J1145" s="759"/>
    </row>
    <row r="1146" spans="1:10" x14ac:dyDescent="0.2">
      <c r="A1146" s="944">
        <v>39049008825</v>
      </c>
      <c r="B1146" s="239" t="s">
        <v>1164</v>
      </c>
      <c r="C1146" s="286" t="s">
        <v>2975</v>
      </c>
      <c r="D1146" s="865" t="s">
        <v>2975</v>
      </c>
      <c r="E1146" s="287" t="s">
        <v>3564</v>
      </c>
      <c r="F1146" s="287" t="s">
        <v>5176</v>
      </c>
      <c r="G1146" s="288" t="s">
        <v>3569</v>
      </c>
      <c r="H1146" s="287">
        <v>45833</v>
      </c>
      <c r="I1146" s="287" t="s">
        <v>2975</v>
      </c>
      <c r="J1146" s="759"/>
    </row>
    <row r="1147" spans="1:10" x14ac:dyDescent="0.2">
      <c r="A1147" s="944">
        <v>39049008900</v>
      </c>
      <c r="B1147" s="239" t="s">
        <v>1165</v>
      </c>
      <c r="C1147" s="286" t="s">
        <v>2975</v>
      </c>
      <c r="D1147" s="865" t="s">
        <v>2975</v>
      </c>
      <c r="E1147" s="287" t="s">
        <v>3562</v>
      </c>
      <c r="F1147" s="287" t="s">
        <v>3565</v>
      </c>
      <c r="G1147" s="288" t="s">
        <v>3569</v>
      </c>
      <c r="H1147" s="287">
        <v>45835</v>
      </c>
      <c r="I1147" s="287" t="s">
        <v>2975</v>
      </c>
      <c r="J1147" s="759"/>
    </row>
    <row r="1148" spans="1:10" x14ac:dyDescent="0.2">
      <c r="A1148" s="944">
        <v>39049009000</v>
      </c>
      <c r="B1148" s="239" t="s">
        <v>1166</v>
      </c>
      <c r="C1148" s="286" t="s">
        <v>2975</v>
      </c>
      <c r="D1148" s="865" t="s">
        <v>2975</v>
      </c>
      <c r="E1148" s="287" t="s">
        <v>3562</v>
      </c>
      <c r="F1148" s="287" t="s">
        <v>5177</v>
      </c>
      <c r="G1148" s="288" t="s">
        <v>3569</v>
      </c>
      <c r="H1148" s="287">
        <v>45836</v>
      </c>
      <c r="I1148" s="287" t="s">
        <v>2975</v>
      </c>
      <c r="J1148" s="759"/>
    </row>
    <row r="1149" spans="1:10" x14ac:dyDescent="0.2">
      <c r="A1149" s="944">
        <v>39049009100</v>
      </c>
      <c r="B1149" s="239" t="s">
        <v>1167</v>
      </c>
      <c r="C1149" s="286" t="s">
        <v>2975</v>
      </c>
      <c r="D1149" s="865" t="s">
        <v>2975</v>
      </c>
      <c r="E1149" s="287" t="s">
        <v>3562</v>
      </c>
      <c r="F1149" s="287" t="s">
        <v>5177</v>
      </c>
      <c r="G1149" s="288" t="s">
        <v>3569</v>
      </c>
      <c r="H1149" s="287">
        <v>45838</v>
      </c>
      <c r="I1149" s="287" t="s">
        <v>2975</v>
      </c>
      <c r="J1149" s="759"/>
    </row>
    <row r="1150" spans="1:10" x14ac:dyDescent="0.2">
      <c r="A1150" s="944">
        <v>39049009210</v>
      </c>
      <c r="B1150" s="239" t="s">
        <v>1168</v>
      </c>
      <c r="C1150" s="286" t="s">
        <v>4330</v>
      </c>
      <c r="D1150" s="865" t="s">
        <v>4330</v>
      </c>
      <c r="E1150" s="287" t="s">
        <v>3557</v>
      </c>
      <c r="F1150" s="287" t="s">
        <v>5177</v>
      </c>
      <c r="G1150" s="288" t="s">
        <v>3569</v>
      </c>
      <c r="H1150" s="287">
        <v>45840</v>
      </c>
      <c r="I1150" s="287" t="s">
        <v>2975</v>
      </c>
      <c r="J1150" s="759"/>
    </row>
    <row r="1151" spans="1:10" x14ac:dyDescent="0.2">
      <c r="A1151" s="944">
        <v>39049009220</v>
      </c>
      <c r="B1151" s="239" t="s">
        <v>1169</v>
      </c>
      <c r="C1151" s="286" t="s">
        <v>4330</v>
      </c>
      <c r="D1151" s="865" t="s">
        <v>4330</v>
      </c>
      <c r="E1151" s="287" t="s">
        <v>3557</v>
      </c>
      <c r="F1151" s="287" t="s">
        <v>5176</v>
      </c>
      <c r="G1151" s="288" t="s">
        <v>3569</v>
      </c>
      <c r="H1151" s="287">
        <v>45841</v>
      </c>
      <c r="I1151" s="287" t="s">
        <v>2975</v>
      </c>
      <c r="J1151" s="759"/>
    </row>
    <row r="1152" spans="1:10" x14ac:dyDescent="0.2">
      <c r="A1152" s="944">
        <v>39049009230</v>
      </c>
      <c r="B1152" s="239" t="s">
        <v>1170</v>
      </c>
      <c r="C1152" s="286" t="s">
        <v>4330</v>
      </c>
      <c r="D1152" s="865" t="s">
        <v>4330</v>
      </c>
      <c r="E1152" s="287" t="s">
        <v>3557</v>
      </c>
      <c r="F1152" s="287" t="s">
        <v>3565</v>
      </c>
      <c r="G1152" s="288" t="s">
        <v>3569</v>
      </c>
      <c r="H1152" s="287">
        <v>45843</v>
      </c>
      <c r="I1152" s="287" t="s">
        <v>2975</v>
      </c>
      <c r="J1152" s="759"/>
    </row>
    <row r="1153" spans="1:10" x14ac:dyDescent="0.2">
      <c r="A1153" s="944">
        <v>39049009240</v>
      </c>
      <c r="B1153" s="239" t="s">
        <v>1171</v>
      </c>
      <c r="C1153" s="286" t="s">
        <v>2975</v>
      </c>
      <c r="D1153" s="865" t="s">
        <v>2975</v>
      </c>
      <c r="E1153" s="287" t="s">
        <v>3564</v>
      </c>
      <c r="F1153" s="287" t="s">
        <v>3558</v>
      </c>
      <c r="G1153" s="288" t="s">
        <v>3569</v>
      </c>
      <c r="H1153" s="287">
        <v>45844</v>
      </c>
      <c r="I1153" s="287" t="s">
        <v>2975</v>
      </c>
      <c r="J1153" s="759"/>
    </row>
    <row r="1154" spans="1:10" x14ac:dyDescent="0.2">
      <c r="A1154" s="944">
        <v>39049009250</v>
      </c>
      <c r="B1154" s="239" t="s">
        <v>1172</v>
      </c>
      <c r="C1154" s="286" t="s">
        <v>2975</v>
      </c>
      <c r="D1154" s="865" t="s">
        <v>2975</v>
      </c>
      <c r="E1154" s="287" t="s">
        <v>3564</v>
      </c>
      <c r="F1154" s="287" t="s">
        <v>3565</v>
      </c>
      <c r="G1154" s="288" t="s">
        <v>3569</v>
      </c>
      <c r="H1154" s="287">
        <v>45845</v>
      </c>
      <c r="I1154" s="287" t="s">
        <v>2975</v>
      </c>
      <c r="J1154" s="759"/>
    </row>
    <row r="1155" spans="1:10" x14ac:dyDescent="0.2">
      <c r="A1155" s="944">
        <v>39049009311</v>
      </c>
      <c r="B1155" s="239" t="s">
        <v>1173</v>
      </c>
      <c r="C1155" s="286" t="s">
        <v>4330</v>
      </c>
      <c r="D1155" s="865" t="s">
        <v>4330</v>
      </c>
      <c r="E1155" s="287" t="s">
        <v>3557</v>
      </c>
      <c r="F1155" s="287" t="s">
        <v>5176</v>
      </c>
      <c r="G1155" s="288" t="s">
        <v>3569</v>
      </c>
      <c r="H1155" s="287">
        <v>45846</v>
      </c>
      <c r="I1155" s="287" t="s">
        <v>2975</v>
      </c>
      <c r="J1155" s="759"/>
    </row>
    <row r="1156" spans="1:10" x14ac:dyDescent="0.2">
      <c r="A1156" s="944">
        <v>39049009312</v>
      </c>
      <c r="B1156" s="239" t="s">
        <v>1174</v>
      </c>
      <c r="C1156" s="286" t="s">
        <v>4330</v>
      </c>
      <c r="D1156" s="865" t="s">
        <v>4330</v>
      </c>
      <c r="E1156" s="287" t="s">
        <v>3557</v>
      </c>
      <c r="F1156" s="287" t="s">
        <v>5177</v>
      </c>
      <c r="G1156" s="288" t="s">
        <v>3569</v>
      </c>
      <c r="H1156" s="287">
        <v>45849</v>
      </c>
      <c r="I1156" s="287" t="s">
        <v>2975</v>
      </c>
      <c r="J1156" s="759"/>
    </row>
    <row r="1157" spans="1:10" x14ac:dyDescent="0.2">
      <c r="A1157" s="944">
        <v>39049009321</v>
      </c>
      <c r="B1157" s="239" t="s">
        <v>1175</v>
      </c>
      <c r="C1157" s="286" t="s">
        <v>4330</v>
      </c>
      <c r="D1157" s="865" t="s">
        <v>4330</v>
      </c>
      <c r="E1157" s="287" t="s">
        <v>3557</v>
      </c>
      <c r="F1157" s="287" t="s">
        <v>3558</v>
      </c>
      <c r="G1157" s="288" t="s">
        <v>3569</v>
      </c>
      <c r="H1157" s="287">
        <v>45850</v>
      </c>
      <c r="I1157" s="287" t="s">
        <v>2975</v>
      </c>
      <c r="J1157" s="759"/>
    </row>
    <row r="1158" spans="1:10" x14ac:dyDescent="0.2">
      <c r="A1158" s="944">
        <v>39049009322</v>
      </c>
      <c r="B1158" s="239" t="s">
        <v>1176</v>
      </c>
      <c r="C1158" s="286" t="s">
        <v>2975</v>
      </c>
      <c r="D1158" s="865" t="s">
        <v>2975</v>
      </c>
      <c r="E1158" s="287" t="s">
        <v>3557</v>
      </c>
      <c r="F1158" s="287" t="s">
        <v>3565</v>
      </c>
      <c r="G1158" s="288" t="s">
        <v>3569</v>
      </c>
      <c r="H1158" s="287">
        <v>45851</v>
      </c>
      <c r="I1158" s="287" t="s">
        <v>2975</v>
      </c>
      <c r="J1158" s="759"/>
    </row>
    <row r="1159" spans="1:10" x14ac:dyDescent="0.2">
      <c r="A1159" s="944">
        <v>39049009323</v>
      </c>
      <c r="B1159" s="239" t="s">
        <v>1177</v>
      </c>
      <c r="C1159" s="286" t="s">
        <v>4330</v>
      </c>
      <c r="D1159" s="865" t="s">
        <v>4330</v>
      </c>
      <c r="E1159" s="287" t="s">
        <v>3557</v>
      </c>
      <c r="F1159" s="287" t="s">
        <v>3565</v>
      </c>
      <c r="G1159" s="288" t="s">
        <v>3569</v>
      </c>
      <c r="H1159" s="287">
        <v>45853</v>
      </c>
      <c r="I1159" s="287" t="s">
        <v>2975</v>
      </c>
      <c r="J1159" s="759"/>
    </row>
    <row r="1160" spans="1:10" x14ac:dyDescent="0.2">
      <c r="A1160" s="944">
        <v>39049009325</v>
      </c>
      <c r="B1160" s="239" t="s">
        <v>1178</v>
      </c>
      <c r="C1160" s="286" t="s">
        <v>4330</v>
      </c>
      <c r="D1160" s="865" t="s">
        <v>4330</v>
      </c>
      <c r="E1160" s="287" t="s">
        <v>3557</v>
      </c>
      <c r="F1160" s="287" t="s">
        <v>5177</v>
      </c>
      <c r="G1160" s="288" t="s">
        <v>3569</v>
      </c>
      <c r="H1160" s="287">
        <v>45854</v>
      </c>
      <c r="I1160" s="287" t="s">
        <v>2975</v>
      </c>
      <c r="J1160" s="759"/>
    </row>
    <row r="1161" spans="1:10" x14ac:dyDescent="0.2">
      <c r="A1161" s="944">
        <v>39049009326</v>
      </c>
      <c r="B1161" s="239" t="s">
        <v>1179</v>
      </c>
      <c r="C1161" s="286" t="s">
        <v>4330</v>
      </c>
      <c r="D1161" s="865" t="s">
        <v>4330</v>
      </c>
      <c r="E1161" s="287" t="s">
        <v>3557</v>
      </c>
      <c r="F1161" s="287" t="s">
        <v>5177</v>
      </c>
      <c r="G1161" s="288" t="s">
        <v>3569</v>
      </c>
      <c r="H1161" s="287">
        <v>45855</v>
      </c>
      <c r="I1161" s="287" t="s">
        <v>2975</v>
      </c>
      <c r="J1161" s="759"/>
    </row>
    <row r="1162" spans="1:10" x14ac:dyDescent="0.2">
      <c r="A1162" s="944">
        <v>39049009331</v>
      </c>
      <c r="B1162" s="239" t="s">
        <v>1180</v>
      </c>
      <c r="C1162" s="286" t="s">
        <v>4330</v>
      </c>
      <c r="D1162" s="865" t="s">
        <v>4330</v>
      </c>
      <c r="E1162" s="287" t="s">
        <v>3557</v>
      </c>
      <c r="F1162" s="287" t="s">
        <v>5177</v>
      </c>
      <c r="G1162" s="288" t="s">
        <v>3569</v>
      </c>
      <c r="H1162" s="287">
        <v>45856</v>
      </c>
      <c r="I1162" s="287" t="s">
        <v>2975</v>
      </c>
      <c r="J1162" s="759"/>
    </row>
    <row r="1163" spans="1:10" x14ac:dyDescent="0.2">
      <c r="A1163" s="944">
        <v>39049009332</v>
      </c>
      <c r="B1163" s="239" t="s">
        <v>1181</v>
      </c>
      <c r="C1163" s="286" t="s">
        <v>2975</v>
      </c>
      <c r="D1163" s="865" t="s">
        <v>2975</v>
      </c>
      <c r="E1163" s="287" t="s">
        <v>3564</v>
      </c>
      <c r="F1163" s="287" t="s">
        <v>5177</v>
      </c>
      <c r="G1163" s="288" t="s">
        <v>3569</v>
      </c>
      <c r="H1163" s="287">
        <v>45858</v>
      </c>
      <c r="I1163" s="287" t="s">
        <v>2975</v>
      </c>
      <c r="J1163" s="759"/>
    </row>
    <row r="1164" spans="1:10" x14ac:dyDescent="0.2">
      <c r="A1164" s="944">
        <v>39049009333</v>
      </c>
      <c r="B1164" s="239" t="s">
        <v>1182</v>
      </c>
      <c r="C1164" s="286" t="s">
        <v>4330</v>
      </c>
      <c r="D1164" s="865" t="s">
        <v>4330</v>
      </c>
      <c r="E1164" s="287" t="s">
        <v>3557</v>
      </c>
      <c r="F1164" s="287" t="s">
        <v>3565</v>
      </c>
      <c r="G1164" s="288" t="s">
        <v>3569</v>
      </c>
      <c r="H1164" s="287">
        <v>45859</v>
      </c>
      <c r="I1164" s="287" t="s">
        <v>2975</v>
      </c>
      <c r="J1164" s="759"/>
    </row>
    <row r="1165" spans="1:10" x14ac:dyDescent="0.2">
      <c r="A1165" s="944">
        <v>39049009334</v>
      </c>
      <c r="B1165" s="239" t="s">
        <v>1183</v>
      </c>
      <c r="C1165" s="286" t="s">
        <v>2975</v>
      </c>
      <c r="D1165" s="865" t="s">
        <v>4330</v>
      </c>
      <c r="E1165" s="287" t="s">
        <v>3557</v>
      </c>
      <c r="F1165" s="287" t="s">
        <v>5176</v>
      </c>
      <c r="G1165" s="288" t="s">
        <v>3569</v>
      </c>
      <c r="H1165" s="287">
        <v>45860</v>
      </c>
      <c r="I1165" s="287" t="s">
        <v>2975</v>
      </c>
      <c r="J1165" s="759"/>
    </row>
    <row r="1166" spans="1:10" x14ac:dyDescent="0.2">
      <c r="A1166" s="944">
        <v>39049009336</v>
      </c>
      <c r="B1166" s="239" t="s">
        <v>1184</v>
      </c>
      <c r="C1166" s="286" t="s">
        <v>4330</v>
      </c>
      <c r="D1166" s="865" t="s">
        <v>4330</v>
      </c>
      <c r="E1166" s="287" t="s">
        <v>3564</v>
      </c>
      <c r="F1166" s="287" t="s">
        <v>3565</v>
      </c>
      <c r="G1166" s="288" t="s">
        <v>3569</v>
      </c>
      <c r="H1166" s="287">
        <v>45861</v>
      </c>
      <c r="I1166" s="287" t="s">
        <v>2975</v>
      </c>
      <c r="J1166" s="759"/>
    </row>
    <row r="1167" spans="1:10" x14ac:dyDescent="0.2">
      <c r="A1167" s="944">
        <v>39049009337</v>
      </c>
      <c r="B1167" s="239" t="s">
        <v>1185</v>
      </c>
      <c r="C1167" s="286" t="s">
        <v>4330</v>
      </c>
      <c r="D1167" s="865" t="s">
        <v>4330</v>
      </c>
      <c r="E1167" s="287" t="s">
        <v>3557</v>
      </c>
      <c r="F1167" s="287" t="s">
        <v>5176</v>
      </c>
      <c r="G1167" s="288" t="s">
        <v>3569</v>
      </c>
      <c r="H1167" s="287">
        <v>45862</v>
      </c>
      <c r="I1167" s="287" t="s">
        <v>2975</v>
      </c>
      <c r="J1167" s="759"/>
    </row>
    <row r="1168" spans="1:10" x14ac:dyDescent="0.2">
      <c r="A1168" s="944">
        <v>39049009340</v>
      </c>
      <c r="B1168" s="239" t="s">
        <v>1186</v>
      </c>
      <c r="C1168" s="286" t="s">
        <v>2975</v>
      </c>
      <c r="D1168" s="865" t="s">
        <v>2975</v>
      </c>
      <c r="E1168" s="287" t="s">
        <v>3557</v>
      </c>
      <c r="F1168" s="287" t="s">
        <v>5177</v>
      </c>
      <c r="G1168" s="288" t="s">
        <v>3569</v>
      </c>
      <c r="H1168" s="287">
        <v>45863</v>
      </c>
      <c r="I1168" s="287" t="s">
        <v>2975</v>
      </c>
      <c r="J1168" s="759"/>
    </row>
    <row r="1169" spans="1:10" x14ac:dyDescent="0.2">
      <c r="A1169" s="944">
        <v>39049009350</v>
      </c>
      <c r="B1169" s="239" t="s">
        <v>1187</v>
      </c>
      <c r="C1169" s="286" t="s">
        <v>2975</v>
      </c>
      <c r="D1169" s="865" t="s">
        <v>2975</v>
      </c>
      <c r="E1169" s="287" t="s">
        <v>3564</v>
      </c>
      <c r="F1169" s="287" t="s">
        <v>5177</v>
      </c>
      <c r="G1169" s="288" t="s">
        <v>3569</v>
      </c>
      <c r="H1169" s="287">
        <v>45864</v>
      </c>
      <c r="I1169" s="287" t="s">
        <v>2975</v>
      </c>
      <c r="J1169" s="759"/>
    </row>
    <row r="1170" spans="1:10" x14ac:dyDescent="0.2">
      <c r="A1170" s="944">
        <v>39049009361</v>
      </c>
      <c r="B1170" s="239" t="s">
        <v>1188</v>
      </c>
      <c r="C1170" s="286" t="s">
        <v>2975</v>
      </c>
      <c r="D1170" s="865" t="s">
        <v>2975</v>
      </c>
      <c r="E1170" s="287" t="s">
        <v>3564</v>
      </c>
      <c r="F1170" s="287" t="s">
        <v>3558</v>
      </c>
      <c r="G1170" s="288" t="s">
        <v>3569</v>
      </c>
      <c r="H1170" s="287">
        <v>45865</v>
      </c>
      <c r="I1170" s="287" t="s">
        <v>2975</v>
      </c>
      <c r="J1170" s="759"/>
    </row>
    <row r="1171" spans="1:10" x14ac:dyDescent="0.2">
      <c r="A1171" s="944">
        <v>39049009362</v>
      </c>
      <c r="B1171" s="239" t="s">
        <v>1189</v>
      </c>
      <c r="C1171" s="286" t="s">
        <v>2975</v>
      </c>
      <c r="D1171" s="865" t="s">
        <v>2975</v>
      </c>
      <c r="E1171" s="287" t="s">
        <v>3566</v>
      </c>
      <c r="F1171" s="287" t="s">
        <v>5177</v>
      </c>
      <c r="G1171" s="288" t="s">
        <v>3569</v>
      </c>
      <c r="H1171" s="287">
        <v>45866</v>
      </c>
      <c r="I1171" s="287" t="s">
        <v>2975</v>
      </c>
      <c r="J1171" s="759"/>
    </row>
    <row r="1172" spans="1:10" x14ac:dyDescent="0.2">
      <c r="A1172" s="944">
        <v>39049009371</v>
      </c>
      <c r="B1172" s="239" t="s">
        <v>1190</v>
      </c>
      <c r="C1172" s="286" t="s">
        <v>2975</v>
      </c>
      <c r="D1172" s="865" t="s">
        <v>2975</v>
      </c>
      <c r="E1172" s="287" t="s">
        <v>3557</v>
      </c>
      <c r="F1172" s="287" t="s">
        <v>5177</v>
      </c>
      <c r="G1172" s="288" t="s">
        <v>3569</v>
      </c>
      <c r="H1172" s="287">
        <v>45867</v>
      </c>
      <c r="I1172" s="287" t="s">
        <v>2975</v>
      </c>
      <c r="J1172" s="759"/>
    </row>
    <row r="1173" spans="1:10" x14ac:dyDescent="0.2">
      <c r="A1173" s="944">
        <v>39049009372</v>
      </c>
      <c r="B1173" s="239" t="s">
        <v>1191</v>
      </c>
      <c r="C1173" s="286" t="s">
        <v>2975</v>
      </c>
      <c r="D1173" s="865" t="s">
        <v>2975</v>
      </c>
      <c r="E1173" s="287" t="s">
        <v>3557</v>
      </c>
      <c r="F1173" s="287" t="s">
        <v>3565</v>
      </c>
      <c r="G1173" s="288" t="s">
        <v>3569</v>
      </c>
      <c r="H1173" s="287">
        <v>45868</v>
      </c>
      <c r="I1173" s="287" t="s">
        <v>2975</v>
      </c>
      <c r="J1173" s="759"/>
    </row>
    <row r="1174" spans="1:10" x14ac:dyDescent="0.2">
      <c r="A1174" s="944">
        <v>39049009373</v>
      </c>
      <c r="B1174" s="239" t="s">
        <v>1192</v>
      </c>
      <c r="C1174" s="286" t="s">
        <v>2975</v>
      </c>
      <c r="D1174" s="865" t="s">
        <v>2975</v>
      </c>
      <c r="E1174" s="287" t="s">
        <v>3557</v>
      </c>
      <c r="F1174" s="287" t="s">
        <v>3559</v>
      </c>
      <c r="G1174" s="288" t="s">
        <v>3569</v>
      </c>
      <c r="H1174" s="287">
        <v>45869</v>
      </c>
      <c r="I1174" s="287" t="s">
        <v>2975</v>
      </c>
      <c r="J1174" s="759"/>
    </row>
    <row r="1175" spans="1:10" x14ac:dyDescent="0.2">
      <c r="A1175" s="944">
        <v>39049009374</v>
      </c>
      <c r="B1175" s="239" t="s">
        <v>1193</v>
      </c>
      <c r="C1175" s="286" t="s">
        <v>2975</v>
      </c>
      <c r="D1175" s="865" t="s">
        <v>2975</v>
      </c>
      <c r="E1175" s="287" t="s">
        <v>3557</v>
      </c>
      <c r="F1175" s="287" t="s">
        <v>3559</v>
      </c>
      <c r="G1175" s="288" t="s">
        <v>3569</v>
      </c>
      <c r="H1175" s="287">
        <v>45870</v>
      </c>
      <c r="I1175" s="287" t="s">
        <v>2975</v>
      </c>
      <c r="J1175" s="759"/>
    </row>
    <row r="1176" spans="1:10" x14ac:dyDescent="0.2">
      <c r="A1176" s="944">
        <v>39049009381</v>
      </c>
      <c r="B1176" s="239" t="s">
        <v>1194</v>
      </c>
      <c r="C1176" s="286" t="s">
        <v>2975</v>
      </c>
      <c r="D1176" s="865" t="s">
        <v>2975</v>
      </c>
      <c r="E1176" s="287" t="s">
        <v>3564</v>
      </c>
      <c r="F1176" s="287" t="s">
        <v>3565</v>
      </c>
      <c r="G1176" s="288" t="s">
        <v>3569</v>
      </c>
      <c r="H1176" s="287">
        <v>45871</v>
      </c>
      <c r="I1176" s="287" t="s">
        <v>2975</v>
      </c>
      <c r="J1176" s="759"/>
    </row>
    <row r="1177" spans="1:10" x14ac:dyDescent="0.2">
      <c r="A1177" s="944">
        <v>39049009382</v>
      </c>
      <c r="B1177" s="239" t="s">
        <v>1195</v>
      </c>
      <c r="C1177" s="286" t="s">
        <v>2975</v>
      </c>
      <c r="D1177" s="865" t="s">
        <v>2975</v>
      </c>
      <c r="E1177" s="287" t="s">
        <v>3564</v>
      </c>
      <c r="F1177" s="287" t="s">
        <v>5177</v>
      </c>
      <c r="G1177" s="288" t="s">
        <v>3569</v>
      </c>
      <c r="H1177" s="287">
        <v>45872</v>
      </c>
      <c r="I1177" s="287" t="s">
        <v>2975</v>
      </c>
      <c r="J1177" s="759"/>
    </row>
    <row r="1178" spans="1:10" x14ac:dyDescent="0.2">
      <c r="A1178" s="944">
        <v>39049009383</v>
      </c>
      <c r="B1178" s="239" t="s">
        <v>1196</v>
      </c>
      <c r="C1178" s="286" t="s">
        <v>2975</v>
      </c>
      <c r="D1178" s="865" t="s">
        <v>2975</v>
      </c>
      <c r="E1178" s="287" t="s">
        <v>3564</v>
      </c>
      <c r="F1178" s="287" t="s">
        <v>5177</v>
      </c>
      <c r="G1178" s="288" t="s">
        <v>3569</v>
      </c>
      <c r="H1178" s="287">
        <v>45873</v>
      </c>
      <c r="I1178" s="287" t="s">
        <v>2975</v>
      </c>
      <c r="J1178" s="759"/>
    </row>
    <row r="1179" spans="1:10" x14ac:dyDescent="0.2">
      <c r="A1179" s="944">
        <v>39049009384</v>
      </c>
      <c r="B1179" s="239" t="s">
        <v>1197</v>
      </c>
      <c r="C1179" s="286" t="s">
        <v>2975</v>
      </c>
      <c r="D1179" s="865" t="s">
        <v>2975</v>
      </c>
      <c r="E1179" s="287" t="s">
        <v>3564</v>
      </c>
      <c r="F1179" s="287" t="s">
        <v>3558</v>
      </c>
      <c r="G1179" s="288" t="s">
        <v>3569</v>
      </c>
      <c r="H1179" s="287">
        <v>45874</v>
      </c>
      <c r="I1179" s="287" t="s">
        <v>2975</v>
      </c>
      <c r="J1179" s="759"/>
    </row>
    <row r="1180" spans="1:10" x14ac:dyDescent="0.2">
      <c r="A1180" s="944">
        <v>39049009385</v>
      </c>
      <c r="B1180" s="239" t="s">
        <v>1198</v>
      </c>
      <c r="C1180" s="286" t="s">
        <v>2975</v>
      </c>
      <c r="D1180" s="865" t="s">
        <v>2975</v>
      </c>
      <c r="E1180" s="287" t="s">
        <v>3566</v>
      </c>
      <c r="F1180" s="287" t="s">
        <v>3565</v>
      </c>
      <c r="G1180" s="288" t="s">
        <v>3569</v>
      </c>
      <c r="H1180" s="287">
        <v>45875</v>
      </c>
      <c r="I1180" s="287" t="s">
        <v>2975</v>
      </c>
      <c r="J1180" s="759"/>
    </row>
    <row r="1181" spans="1:10" x14ac:dyDescent="0.2">
      <c r="A1181" s="944">
        <v>39049009386</v>
      </c>
      <c r="B1181" s="239" t="s">
        <v>1199</v>
      </c>
      <c r="C1181" s="286" t="s">
        <v>2975</v>
      </c>
      <c r="D1181" s="865" t="s">
        <v>2975</v>
      </c>
      <c r="E1181" s="287" t="s">
        <v>3557</v>
      </c>
      <c r="F1181" s="287" t="s">
        <v>3559</v>
      </c>
      <c r="G1181" s="288" t="s">
        <v>3569</v>
      </c>
      <c r="H1181" s="287">
        <v>45876</v>
      </c>
      <c r="I1181" s="287" t="s">
        <v>2975</v>
      </c>
      <c r="J1181" s="759"/>
    </row>
    <row r="1182" spans="1:10" x14ac:dyDescent="0.2">
      <c r="A1182" s="944">
        <v>39049009390</v>
      </c>
      <c r="B1182" s="239" t="s">
        <v>1200</v>
      </c>
      <c r="C1182" s="286" t="s">
        <v>2975</v>
      </c>
      <c r="D1182" s="865" t="s">
        <v>2975</v>
      </c>
      <c r="E1182" s="287" t="s">
        <v>3566</v>
      </c>
      <c r="F1182" s="287" t="s">
        <v>3559</v>
      </c>
      <c r="G1182" s="288" t="s">
        <v>3569</v>
      </c>
      <c r="H1182" s="287">
        <v>45877</v>
      </c>
      <c r="I1182" s="287" t="s">
        <v>2975</v>
      </c>
      <c r="J1182" s="759"/>
    </row>
    <row r="1183" spans="1:10" x14ac:dyDescent="0.2">
      <c r="A1183" s="944">
        <v>39049009410</v>
      </c>
      <c r="B1183" s="239" t="s">
        <v>1201</v>
      </c>
      <c r="C1183" s="286" t="s">
        <v>2975</v>
      </c>
      <c r="D1183" s="865" t="s">
        <v>2975</v>
      </c>
      <c r="E1183" s="287" t="s">
        <v>3564</v>
      </c>
      <c r="F1183" s="287" t="s">
        <v>5177</v>
      </c>
      <c r="G1183" s="288" t="s">
        <v>3569</v>
      </c>
      <c r="H1183" s="287">
        <v>45879</v>
      </c>
      <c r="I1183" s="287" t="s">
        <v>2975</v>
      </c>
      <c r="J1183" s="759"/>
    </row>
    <row r="1184" spans="1:10" x14ac:dyDescent="0.2">
      <c r="A1184" s="944">
        <v>39049009420</v>
      </c>
      <c r="B1184" s="239" t="s">
        <v>1202</v>
      </c>
      <c r="C1184" s="286" t="s">
        <v>2975</v>
      </c>
      <c r="D1184" s="865" t="s">
        <v>2975</v>
      </c>
      <c r="E1184" s="287" t="s">
        <v>3557</v>
      </c>
      <c r="F1184" s="287" t="s">
        <v>5176</v>
      </c>
      <c r="G1184" s="288" t="s">
        <v>3569</v>
      </c>
      <c r="H1184" s="287">
        <v>45880</v>
      </c>
      <c r="I1184" s="287" t="s">
        <v>2975</v>
      </c>
      <c r="J1184" s="759"/>
    </row>
    <row r="1185" spans="1:10" x14ac:dyDescent="0.2">
      <c r="A1185" s="944">
        <v>39049009430</v>
      </c>
      <c r="B1185" s="239" t="s">
        <v>1203</v>
      </c>
      <c r="C1185" s="286" t="s">
        <v>2975</v>
      </c>
      <c r="D1185" s="865" t="s">
        <v>2975</v>
      </c>
      <c r="E1185" s="287" t="s">
        <v>3564</v>
      </c>
      <c r="F1185" s="287" t="s">
        <v>3558</v>
      </c>
      <c r="G1185" s="288" t="s">
        <v>3569</v>
      </c>
      <c r="H1185" s="287">
        <v>45881</v>
      </c>
      <c r="I1185" s="287" t="s">
        <v>2975</v>
      </c>
      <c r="J1185" s="759"/>
    </row>
    <row r="1186" spans="1:10" x14ac:dyDescent="0.2">
      <c r="A1186" s="944">
        <v>39049009440</v>
      </c>
      <c r="B1186" s="239" t="s">
        <v>1204</v>
      </c>
      <c r="C1186" s="286" t="s">
        <v>2975</v>
      </c>
      <c r="D1186" s="865" t="s">
        <v>2975</v>
      </c>
      <c r="E1186" s="287" t="s">
        <v>3566</v>
      </c>
      <c r="F1186" s="287" t="s">
        <v>3558</v>
      </c>
      <c r="G1186" s="288" t="s">
        <v>3569</v>
      </c>
      <c r="H1186" s="287">
        <v>45882</v>
      </c>
      <c r="I1186" s="287" t="s">
        <v>2975</v>
      </c>
      <c r="J1186" s="759"/>
    </row>
    <row r="1187" spans="1:10" x14ac:dyDescent="0.2">
      <c r="A1187" s="944">
        <v>39049009450</v>
      </c>
      <c r="B1187" s="239" t="s">
        <v>1205</v>
      </c>
      <c r="C1187" s="286" t="s">
        <v>2975</v>
      </c>
      <c r="D1187" s="865" t="s">
        <v>2975</v>
      </c>
      <c r="E1187" s="287" t="s">
        <v>3566</v>
      </c>
      <c r="F1187" s="287" t="s">
        <v>3559</v>
      </c>
      <c r="G1187" s="288" t="s">
        <v>3569</v>
      </c>
      <c r="H1187" s="287">
        <v>45883</v>
      </c>
      <c r="I1187" s="287" t="s">
        <v>2975</v>
      </c>
      <c r="J1187" s="759"/>
    </row>
    <row r="1188" spans="1:10" x14ac:dyDescent="0.2">
      <c r="A1188" s="944">
        <v>39049009495</v>
      </c>
      <c r="B1188" s="239" t="s">
        <v>1206</v>
      </c>
      <c r="C1188" s="286" t="s">
        <v>2975</v>
      </c>
      <c r="D1188" s="865" t="s">
        <v>2975</v>
      </c>
      <c r="E1188" s="287" t="s">
        <v>3564</v>
      </c>
      <c r="F1188" s="287" t="s">
        <v>3558</v>
      </c>
      <c r="G1188" s="288" t="s">
        <v>3569</v>
      </c>
      <c r="H1188" s="287">
        <v>45884</v>
      </c>
      <c r="I1188" s="287" t="s">
        <v>2975</v>
      </c>
      <c r="J1188" s="759"/>
    </row>
    <row r="1189" spans="1:10" x14ac:dyDescent="0.2">
      <c r="A1189" s="944">
        <v>39049009497</v>
      </c>
      <c r="B1189" s="239" t="s">
        <v>1207</v>
      </c>
      <c r="C1189" s="286" t="s">
        <v>2975</v>
      </c>
      <c r="D1189" s="865" t="s">
        <v>2975</v>
      </c>
      <c r="E1189" s="287" t="s">
        <v>3563</v>
      </c>
      <c r="F1189" s="287" t="s">
        <v>3560</v>
      </c>
      <c r="G1189" s="288" t="s">
        <v>3568</v>
      </c>
      <c r="H1189" s="287">
        <v>45885</v>
      </c>
      <c r="I1189" s="287" t="s">
        <v>2975</v>
      </c>
      <c r="J1189" s="759"/>
    </row>
    <row r="1190" spans="1:10" x14ac:dyDescent="0.2">
      <c r="A1190" s="944">
        <v>39049009520</v>
      </c>
      <c r="B1190" s="239" t="s">
        <v>1208</v>
      </c>
      <c r="C1190" s="286" t="s">
        <v>2975</v>
      </c>
      <c r="D1190" s="865" t="s">
        <v>2975</v>
      </c>
      <c r="E1190" s="287" t="s">
        <v>3564</v>
      </c>
      <c r="F1190" s="287" t="s">
        <v>5177</v>
      </c>
      <c r="G1190" s="288" t="s">
        <v>3569</v>
      </c>
      <c r="H1190" s="287">
        <v>45886</v>
      </c>
      <c r="I1190" s="287" t="s">
        <v>2975</v>
      </c>
      <c r="J1190" s="759"/>
    </row>
    <row r="1191" spans="1:10" x14ac:dyDescent="0.2">
      <c r="A1191" s="944">
        <v>39049009590</v>
      </c>
      <c r="B1191" s="239" t="s">
        <v>1209</v>
      </c>
      <c r="C1191" s="286" t="s">
        <v>2975</v>
      </c>
      <c r="D1191" s="865" t="s">
        <v>2975</v>
      </c>
      <c r="E1191" s="287" t="s">
        <v>3563</v>
      </c>
      <c r="F1191" s="287" t="s">
        <v>3558</v>
      </c>
      <c r="G1191" s="288" t="s">
        <v>3568</v>
      </c>
      <c r="H1191" s="287">
        <v>45887</v>
      </c>
      <c r="I1191" s="287" t="s">
        <v>2975</v>
      </c>
      <c r="J1191" s="759"/>
    </row>
    <row r="1192" spans="1:10" x14ac:dyDescent="0.2">
      <c r="A1192" s="944">
        <v>39049009600</v>
      </c>
      <c r="B1192" s="239" t="s">
        <v>1210</v>
      </c>
      <c r="C1192" s="286" t="s">
        <v>2975</v>
      </c>
      <c r="D1192" s="865" t="s">
        <v>2975</v>
      </c>
      <c r="E1192" s="287" t="s">
        <v>3566</v>
      </c>
      <c r="F1192" s="287" t="s">
        <v>5177</v>
      </c>
      <c r="G1192" s="288" t="s">
        <v>3569</v>
      </c>
      <c r="H1192" s="287">
        <v>45888</v>
      </c>
      <c r="I1192" s="287" t="s">
        <v>2975</v>
      </c>
      <c r="J1192" s="759"/>
    </row>
    <row r="1193" spans="1:10" x14ac:dyDescent="0.2">
      <c r="A1193" s="944">
        <v>39049009711</v>
      </c>
      <c r="B1193" s="239" t="s">
        <v>1211</v>
      </c>
      <c r="C1193" s="286" t="s">
        <v>2975</v>
      </c>
      <c r="D1193" s="865" t="s">
        <v>2975</v>
      </c>
      <c r="E1193" s="287" t="s">
        <v>3566</v>
      </c>
      <c r="F1193" s="287" t="s">
        <v>3559</v>
      </c>
      <c r="G1193" s="288" t="s">
        <v>3569</v>
      </c>
      <c r="H1193" s="287">
        <v>45889</v>
      </c>
      <c r="I1193" s="287" t="s">
        <v>2975</v>
      </c>
      <c r="J1193" s="759"/>
    </row>
    <row r="1194" spans="1:10" x14ac:dyDescent="0.2">
      <c r="A1194" s="944">
        <v>39049009712</v>
      </c>
      <c r="B1194" s="239" t="s">
        <v>1212</v>
      </c>
      <c r="C1194" s="286" t="s">
        <v>2975</v>
      </c>
      <c r="D1194" s="865" t="s">
        <v>2975</v>
      </c>
      <c r="E1194" s="287" t="s">
        <v>3566</v>
      </c>
      <c r="F1194" s="287" t="s">
        <v>3558</v>
      </c>
      <c r="G1194" s="288" t="s">
        <v>3569</v>
      </c>
      <c r="H1194" s="287">
        <v>45890</v>
      </c>
      <c r="I1194" s="287" t="s">
        <v>2975</v>
      </c>
      <c r="J1194" s="759"/>
    </row>
    <row r="1195" spans="1:10" x14ac:dyDescent="0.2">
      <c r="A1195" s="944">
        <v>39049009720</v>
      </c>
      <c r="B1195" s="239" t="s">
        <v>1213</v>
      </c>
      <c r="C1195" s="286" t="s">
        <v>2975</v>
      </c>
      <c r="D1195" s="865" t="s">
        <v>2975</v>
      </c>
      <c r="E1195" s="287" t="s">
        <v>3566</v>
      </c>
      <c r="F1195" s="287" t="s">
        <v>3558</v>
      </c>
      <c r="G1195" s="288" t="s">
        <v>3569</v>
      </c>
      <c r="H1195" s="287">
        <v>45891</v>
      </c>
      <c r="I1195" s="287" t="s">
        <v>2975</v>
      </c>
      <c r="J1195" s="759"/>
    </row>
    <row r="1196" spans="1:10" x14ac:dyDescent="0.2">
      <c r="A1196" s="944">
        <v>39049009740</v>
      </c>
      <c r="B1196" s="239" t="s">
        <v>1214</v>
      </c>
      <c r="C1196" s="286" t="s">
        <v>2975</v>
      </c>
      <c r="D1196" s="865" t="s">
        <v>2975</v>
      </c>
      <c r="E1196" s="287" t="s">
        <v>3562</v>
      </c>
      <c r="F1196" s="287" t="s">
        <v>5177</v>
      </c>
      <c r="G1196" s="288" t="s">
        <v>3569</v>
      </c>
      <c r="H1196" s="287">
        <v>45894</v>
      </c>
      <c r="I1196" s="287" t="s">
        <v>2975</v>
      </c>
      <c r="J1196" s="759"/>
    </row>
    <row r="1197" spans="1:10" x14ac:dyDescent="0.2">
      <c r="A1197" s="944">
        <v>39049009751</v>
      </c>
      <c r="B1197" s="239" t="s">
        <v>1215</v>
      </c>
      <c r="C1197" s="286" t="s">
        <v>2975</v>
      </c>
      <c r="D1197" s="865" t="s">
        <v>2975</v>
      </c>
      <c r="E1197" s="287" t="s">
        <v>3562</v>
      </c>
      <c r="F1197" s="287" t="s">
        <v>3559</v>
      </c>
      <c r="G1197" s="288" t="s">
        <v>3569</v>
      </c>
      <c r="H1197" s="287">
        <v>45895</v>
      </c>
      <c r="I1197" s="287" t="s">
        <v>2975</v>
      </c>
      <c r="J1197" s="759"/>
    </row>
    <row r="1198" spans="1:10" x14ac:dyDescent="0.2">
      <c r="A1198" s="944">
        <v>39049009752</v>
      </c>
      <c r="B1198" s="239" t="s">
        <v>1216</v>
      </c>
      <c r="C1198" s="286" t="s">
        <v>2975</v>
      </c>
      <c r="D1198" s="865" t="s">
        <v>2975</v>
      </c>
      <c r="E1198" s="287" t="s">
        <v>3562</v>
      </c>
      <c r="F1198" s="287" t="s">
        <v>5177</v>
      </c>
      <c r="G1198" s="288" t="s">
        <v>3569</v>
      </c>
      <c r="H1198" s="287">
        <v>45896</v>
      </c>
      <c r="I1198" s="287" t="s">
        <v>2975</v>
      </c>
      <c r="J1198" s="759"/>
    </row>
    <row r="1199" spans="1:10" x14ac:dyDescent="0.2">
      <c r="A1199" s="944">
        <v>39049009800</v>
      </c>
      <c r="B1199" s="239" t="s">
        <v>1217</v>
      </c>
      <c r="C1199" s="286" t="s">
        <v>2975</v>
      </c>
      <c r="D1199" s="865" t="s">
        <v>2975</v>
      </c>
      <c r="E1199" s="287" t="s">
        <v>3566</v>
      </c>
      <c r="F1199" s="287" t="s">
        <v>3558</v>
      </c>
      <c r="G1199" s="288" t="s">
        <v>3568</v>
      </c>
      <c r="H1199" s="287">
        <v>45897</v>
      </c>
      <c r="I1199" s="287" t="s">
        <v>2975</v>
      </c>
      <c r="J1199" s="759"/>
    </row>
    <row r="1200" spans="1:10" x14ac:dyDescent="0.2">
      <c r="A1200" s="944">
        <v>39049009900</v>
      </c>
      <c r="B1200" s="239" t="s">
        <v>1218</v>
      </c>
      <c r="C1200" s="286" t="s">
        <v>4330</v>
      </c>
      <c r="D1200" s="865" t="s">
        <v>4330</v>
      </c>
      <c r="E1200" s="287" t="s">
        <v>3557</v>
      </c>
      <c r="F1200" s="287" t="s">
        <v>5176</v>
      </c>
      <c r="G1200" s="288" t="s">
        <v>3569</v>
      </c>
      <c r="H1200" s="287">
        <v>45898</v>
      </c>
      <c r="I1200" s="287" t="s">
        <v>2975</v>
      </c>
      <c r="J1200" s="759"/>
    </row>
    <row r="1201" spans="1:10" ht="15" thickBot="1" x14ac:dyDescent="0.25">
      <c r="A1201" s="944">
        <v>39049010000</v>
      </c>
      <c r="B1201" s="239" t="s">
        <v>1219</v>
      </c>
      <c r="C1201" s="286" t="s">
        <v>2975</v>
      </c>
      <c r="D1201" s="865" t="s">
        <v>2975</v>
      </c>
      <c r="E1201" s="287" t="s">
        <v>3563</v>
      </c>
      <c r="F1201" s="287" t="s">
        <v>5177</v>
      </c>
      <c r="G1201" s="288" t="s">
        <v>3569</v>
      </c>
      <c r="H1201" s="762">
        <v>45899</v>
      </c>
      <c r="I1201" s="763" t="s">
        <v>2975</v>
      </c>
      <c r="J1201" s="759"/>
    </row>
    <row r="1202" spans="1:10" x14ac:dyDescent="0.2">
      <c r="A1202" s="944">
        <v>39049010100</v>
      </c>
      <c r="B1202" s="239" t="s">
        <v>1220</v>
      </c>
      <c r="C1202" s="286" t="s">
        <v>2975</v>
      </c>
      <c r="D1202" s="865" t="s">
        <v>2975</v>
      </c>
      <c r="E1202" s="287" t="s">
        <v>3562</v>
      </c>
      <c r="F1202" s="287" t="s">
        <v>5177</v>
      </c>
      <c r="G1202" s="288" t="s">
        <v>3569</v>
      </c>
    </row>
    <row r="1203" spans="1:10" x14ac:dyDescent="0.2">
      <c r="A1203" s="944">
        <v>39049010200</v>
      </c>
      <c r="B1203" s="239" t="s">
        <v>1221</v>
      </c>
      <c r="C1203" s="286" t="s">
        <v>2975</v>
      </c>
      <c r="D1203" s="865" t="s">
        <v>2975</v>
      </c>
      <c r="E1203" s="287" t="s">
        <v>3564</v>
      </c>
      <c r="F1203" s="287" t="s">
        <v>3559</v>
      </c>
      <c r="G1203" s="288" t="s">
        <v>3569</v>
      </c>
    </row>
    <row r="1204" spans="1:10" x14ac:dyDescent="0.2">
      <c r="A1204" s="944">
        <v>39049010300</v>
      </c>
      <c r="B1204" s="239" t="s">
        <v>1222</v>
      </c>
      <c r="C1204" s="286" t="s">
        <v>4330</v>
      </c>
      <c r="D1204" s="865" t="s">
        <v>4330</v>
      </c>
      <c r="E1204" s="287" t="s">
        <v>3557</v>
      </c>
      <c r="F1204" s="287" t="s">
        <v>3559</v>
      </c>
      <c r="G1204" s="288" t="s">
        <v>3569</v>
      </c>
    </row>
    <row r="1205" spans="1:10" x14ac:dyDescent="0.2">
      <c r="A1205" s="944">
        <v>39049010400</v>
      </c>
      <c r="B1205" s="239" t="s">
        <v>1223</v>
      </c>
      <c r="C1205" s="286" t="s">
        <v>2975</v>
      </c>
      <c r="D1205" s="865" t="s">
        <v>2975</v>
      </c>
      <c r="E1205" s="287" t="s">
        <v>3562</v>
      </c>
      <c r="F1205" s="287" t="s">
        <v>3565</v>
      </c>
      <c r="G1205" s="288" t="s">
        <v>3569</v>
      </c>
    </row>
    <row r="1206" spans="1:10" x14ac:dyDescent="0.2">
      <c r="A1206" s="944">
        <v>39049010500</v>
      </c>
      <c r="B1206" s="239" t="s">
        <v>1224</v>
      </c>
      <c r="C1206" s="286" t="s">
        <v>2975</v>
      </c>
      <c r="D1206" s="865" t="s">
        <v>2975</v>
      </c>
      <c r="E1206" s="287" t="s">
        <v>3562</v>
      </c>
      <c r="F1206" s="287" t="s">
        <v>3558</v>
      </c>
      <c r="G1206" s="288" t="s">
        <v>3569</v>
      </c>
    </row>
    <row r="1207" spans="1:10" x14ac:dyDescent="0.2">
      <c r="A1207" s="944">
        <v>39049010601</v>
      </c>
      <c r="B1207" s="239" t="s">
        <v>1225</v>
      </c>
      <c r="C1207" s="286" t="s">
        <v>2975</v>
      </c>
      <c r="D1207" s="865" t="s">
        <v>2975</v>
      </c>
      <c r="E1207" s="287" t="s">
        <v>3562</v>
      </c>
      <c r="F1207" s="287" t="s">
        <v>3565</v>
      </c>
      <c r="G1207" s="288" t="s">
        <v>3569</v>
      </c>
    </row>
    <row r="1208" spans="1:10" x14ac:dyDescent="0.2">
      <c r="A1208" s="944">
        <v>39049010602</v>
      </c>
      <c r="B1208" s="239" t="s">
        <v>1226</v>
      </c>
      <c r="C1208" s="286" t="s">
        <v>2975</v>
      </c>
      <c r="D1208" s="865" t="s">
        <v>2975</v>
      </c>
      <c r="E1208" s="287" t="s">
        <v>3563</v>
      </c>
      <c r="F1208" s="287" t="s">
        <v>3565</v>
      </c>
      <c r="G1208" s="288" t="s">
        <v>3569</v>
      </c>
    </row>
    <row r="1209" spans="1:10" x14ac:dyDescent="0.2">
      <c r="A1209" s="944">
        <v>39049010700</v>
      </c>
      <c r="B1209" s="239" t="s">
        <v>1227</v>
      </c>
      <c r="C1209" s="286" t="s">
        <v>2975</v>
      </c>
      <c r="D1209" s="865" t="s">
        <v>2975</v>
      </c>
      <c r="E1209" s="287" t="s">
        <v>3566</v>
      </c>
      <c r="F1209" s="287" t="s">
        <v>3565</v>
      </c>
      <c r="G1209" s="288" t="s">
        <v>3569</v>
      </c>
    </row>
    <row r="1210" spans="1:10" x14ac:dyDescent="0.2">
      <c r="A1210" s="944">
        <v>39049980000</v>
      </c>
      <c r="B1210" s="239" t="s">
        <v>1228</v>
      </c>
      <c r="C1210" s="286" t="s">
        <v>2975</v>
      </c>
      <c r="D1210" s="865" t="s">
        <v>2975</v>
      </c>
      <c r="E1210" s="287"/>
      <c r="F1210" s="287" t="s">
        <v>5178</v>
      </c>
      <c r="G1210" s="288" t="s">
        <v>3569</v>
      </c>
    </row>
    <row r="1211" spans="1:10" x14ac:dyDescent="0.2">
      <c r="A1211" s="944">
        <v>39051040100</v>
      </c>
      <c r="B1211" s="239" t="s">
        <v>1229</v>
      </c>
      <c r="C1211" s="286" t="s">
        <v>2975</v>
      </c>
      <c r="D1211" s="865" t="s">
        <v>2975</v>
      </c>
      <c r="E1211" s="287" t="s">
        <v>3563</v>
      </c>
      <c r="F1211" s="287" t="s">
        <v>5176</v>
      </c>
      <c r="G1211" s="288" t="s">
        <v>3568</v>
      </c>
    </row>
    <row r="1212" spans="1:10" x14ac:dyDescent="0.2">
      <c r="A1212" s="944">
        <v>39051040200</v>
      </c>
      <c r="B1212" s="239" t="s">
        <v>1230</v>
      </c>
      <c r="C1212" s="286" t="s">
        <v>2975</v>
      </c>
      <c r="D1212" s="865" t="s">
        <v>2975</v>
      </c>
      <c r="E1212" s="287" t="s">
        <v>3564</v>
      </c>
      <c r="F1212" s="287" t="s">
        <v>5177</v>
      </c>
      <c r="G1212" s="288" t="s">
        <v>3569</v>
      </c>
    </row>
    <row r="1213" spans="1:10" x14ac:dyDescent="0.2">
      <c r="A1213" s="944">
        <v>39051040300</v>
      </c>
      <c r="B1213" s="239" t="s">
        <v>1231</v>
      </c>
      <c r="C1213" s="286" t="s">
        <v>2975</v>
      </c>
      <c r="D1213" s="865" t="s">
        <v>2975</v>
      </c>
      <c r="E1213" s="287" t="s">
        <v>3566</v>
      </c>
      <c r="F1213" s="287" t="s">
        <v>5176</v>
      </c>
      <c r="G1213" s="288" t="s">
        <v>3568</v>
      </c>
    </row>
    <row r="1214" spans="1:10" x14ac:dyDescent="0.2">
      <c r="A1214" s="944">
        <v>39051040400</v>
      </c>
      <c r="B1214" s="239" t="s">
        <v>1232</v>
      </c>
      <c r="C1214" s="286" t="s">
        <v>2975</v>
      </c>
      <c r="D1214" s="865" t="s">
        <v>2975</v>
      </c>
      <c r="E1214" s="287" t="s">
        <v>3563</v>
      </c>
      <c r="F1214" s="287" t="s">
        <v>5177</v>
      </c>
      <c r="G1214" s="288" t="s">
        <v>3568</v>
      </c>
    </row>
    <row r="1215" spans="1:10" x14ac:dyDescent="0.2">
      <c r="A1215" s="944">
        <v>39051040500</v>
      </c>
      <c r="B1215" s="239" t="s">
        <v>1233</v>
      </c>
      <c r="C1215" s="286" t="s">
        <v>2975</v>
      </c>
      <c r="D1215" s="865" t="s">
        <v>2975</v>
      </c>
      <c r="E1215" s="287" t="s">
        <v>3563</v>
      </c>
      <c r="F1215" s="287" t="s">
        <v>5176</v>
      </c>
      <c r="G1215" s="288" t="s">
        <v>3568</v>
      </c>
    </row>
    <row r="1216" spans="1:10" x14ac:dyDescent="0.2">
      <c r="A1216" s="944">
        <v>39051040600</v>
      </c>
      <c r="B1216" s="239" t="s">
        <v>1234</v>
      </c>
      <c r="C1216" s="286" t="s">
        <v>2975</v>
      </c>
      <c r="D1216" s="865" t="s">
        <v>2975</v>
      </c>
      <c r="E1216" s="287" t="s">
        <v>3563</v>
      </c>
      <c r="F1216" s="287" t="s">
        <v>3565</v>
      </c>
      <c r="G1216" s="288" t="s">
        <v>3568</v>
      </c>
    </row>
    <row r="1217" spans="1:7" x14ac:dyDescent="0.2">
      <c r="A1217" s="944">
        <v>39051040700</v>
      </c>
      <c r="B1217" s="239" t="s">
        <v>1235</v>
      </c>
      <c r="C1217" s="286" t="s">
        <v>2975</v>
      </c>
      <c r="D1217" s="865" t="s">
        <v>2975</v>
      </c>
      <c r="E1217" s="287" t="s">
        <v>3563</v>
      </c>
      <c r="F1217" s="287" t="s">
        <v>3558</v>
      </c>
      <c r="G1217" s="288" t="s">
        <v>3568</v>
      </c>
    </row>
    <row r="1218" spans="1:7" x14ac:dyDescent="0.2">
      <c r="A1218" s="944">
        <v>39051040800</v>
      </c>
      <c r="B1218" s="239" t="s">
        <v>1236</v>
      </c>
      <c r="C1218" s="286" t="s">
        <v>2975</v>
      </c>
      <c r="D1218" s="865" t="s">
        <v>2975</v>
      </c>
      <c r="E1218" s="287" t="s">
        <v>3563</v>
      </c>
      <c r="F1218" s="287" t="s">
        <v>5177</v>
      </c>
      <c r="G1218" s="288" t="s">
        <v>3568</v>
      </c>
    </row>
    <row r="1219" spans="1:7" x14ac:dyDescent="0.2">
      <c r="A1219" s="944">
        <v>39051040900</v>
      </c>
      <c r="B1219" s="239" t="s">
        <v>1237</v>
      </c>
      <c r="C1219" s="286" t="s">
        <v>2975</v>
      </c>
      <c r="D1219" s="865" t="s">
        <v>2975</v>
      </c>
      <c r="E1219" s="287" t="s">
        <v>3562</v>
      </c>
      <c r="F1219" s="287" t="s">
        <v>3558</v>
      </c>
      <c r="G1219" s="288" t="s">
        <v>3568</v>
      </c>
    </row>
    <row r="1220" spans="1:7" x14ac:dyDescent="0.2">
      <c r="A1220" s="944">
        <v>39053953500</v>
      </c>
      <c r="B1220" s="239" t="s">
        <v>1238</v>
      </c>
      <c r="C1220" s="286" t="s">
        <v>2975</v>
      </c>
      <c r="D1220" s="865" t="s">
        <v>2975</v>
      </c>
      <c r="E1220" s="287" t="s">
        <v>3557</v>
      </c>
      <c r="F1220" s="287" t="s">
        <v>5177</v>
      </c>
      <c r="G1220" s="288" t="s">
        <v>3568</v>
      </c>
    </row>
    <row r="1221" spans="1:7" x14ac:dyDescent="0.2">
      <c r="A1221" s="944">
        <v>39053953600</v>
      </c>
      <c r="B1221" s="239" t="s">
        <v>1239</v>
      </c>
      <c r="C1221" s="286" t="s">
        <v>2975</v>
      </c>
      <c r="D1221" s="865" t="s">
        <v>2975</v>
      </c>
      <c r="E1221" s="287" t="s">
        <v>3557</v>
      </c>
      <c r="F1221" s="287" t="s">
        <v>3558</v>
      </c>
      <c r="G1221" s="288" t="s">
        <v>3568</v>
      </c>
    </row>
    <row r="1222" spans="1:7" x14ac:dyDescent="0.2">
      <c r="A1222" s="944">
        <v>39053953700</v>
      </c>
      <c r="B1222" s="239" t="s">
        <v>1240</v>
      </c>
      <c r="C1222" s="286" t="s">
        <v>4330</v>
      </c>
      <c r="D1222" s="865" t="s">
        <v>4330</v>
      </c>
      <c r="E1222" s="287" t="s">
        <v>3557</v>
      </c>
      <c r="F1222" s="287" t="s">
        <v>3559</v>
      </c>
      <c r="G1222" s="288" t="s">
        <v>3568</v>
      </c>
    </row>
    <row r="1223" spans="1:7" x14ac:dyDescent="0.2">
      <c r="A1223" s="944">
        <v>39053953800</v>
      </c>
      <c r="B1223" s="239" t="s">
        <v>1241</v>
      </c>
      <c r="C1223" s="286" t="s">
        <v>2975</v>
      </c>
      <c r="D1223" s="865" t="s">
        <v>2975</v>
      </c>
      <c r="E1223" s="287" t="s">
        <v>3557</v>
      </c>
      <c r="F1223" s="287" t="s">
        <v>3558</v>
      </c>
      <c r="G1223" s="288" t="s">
        <v>3568</v>
      </c>
    </row>
    <row r="1224" spans="1:7" x14ac:dyDescent="0.2">
      <c r="A1224" s="944">
        <v>39053953900</v>
      </c>
      <c r="B1224" s="239" t="s">
        <v>1242</v>
      </c>
      <c r="C1224" s="286" t="s">
        <v>2975</v>
      </c>
      <c r="D1224" s="865" t="s">
        <v>2975</v>
      </c>
      <c r="E1224" s="287" t="s">
        <v>3564</v>
      </c>
      <c r="F1224" s="287" t="s">
        <v>5176</v>
      </c>
      <c r="G1224" s="288" t="s">
        <v>3568</v>
      </c>
    </row>
    <row r="1225" spans="1:7" x14ac:dyDescent="0.2">
      <c r="A1225" s="944">
        <v>39053954000</v>
      </c>
      <c r="B1225" s="239" t="s">
        <v>1243</v>
      </c>
      <c r="C1225" s="286" t="s">
        <v>4330</v>
      </c>
      <c r="D1225" s="865" t="s">
        <v>4330</v>
      </c>
      <c r="E1225" s="287" t="s">
        <v>3566</v>
      </c>
      <c r="F1225" s="287" t="s">
        <v>5177</v>
      </c>
      <c r="G1225" s="288" t="s">
        <v>3568</v>
      </c>
    </row>
    <row r="1226" spans="1:7" x14ac:dyDescent="0.2">
      <c r="A1226" s="944">
        <v>39053954100</v>
      </c>
      <c r="B1226" s="239" t="s">
        <v>1244</v>
      </c>
      <c r="C1226" s="286" t="s">
        <v>2975</v>
      </c>
      <c r="D1226" s="865" t="s">
        <v>2975</v>
      </c>
      <c r="E1226" s="287" t="s">
        <v>3564</v>
      </c>
      <c r="F1226" s="287" t="s">
        <v>3558</v>
      </c>
      <c r="G1226" s="288" t="s">
        <v>3568</v>
      </c>
    </row>
    <row r="1227" spans="1:7" x14ac:dyDescent="0.2">
      <c r="A1227" s="944">
        <v>39055310100</v>
      </c>
      <c r="B1227" s="239" t="s">
        <v>1245</v>
      </c>
      <c r="C1227" s="286" t="s">
        <v>2975</v>
      </c>
      <c r="D1227" s="865" t="s">
        <v>2975</v>
      </c>
      <c r="E1227" s="287" t="s">
        <v>3566</v>
      </c>
      <c r="F1227" s="287" t="s">
        <v>5177</v>
      </c>
      <c r="G1227" s="288" t="s">
        <v>3568</v>
      </c>
    </row>
    <row r="1228" spans="1:7" x14ac:dyDescent="0.2">
      <c r="A1228" s="944">
        <v>39055310200</v>
      </c>
      <c r="B1228" s="239" t="s">
        <v>1246</v>
      </c>
      <c r="C1228" s="286" t="s">
        <v>2975</v>
      </c>
      <c r="D1228" s="865" t="s">
        <v>2975</v>
      </c>
      <c r="E1228" s="287" t="s">
        <v>3563</v>
      </c>
      <c r="F1228" s="287" t="s">
        <v>5177</v>
      </c>
      <c r="G1228" s="288" t="s">
        <v>3568</v>
      </c>
    </row>
    <row r="1229" spans="1:7" x14ac:dyDescent="0.2">
      <c r="A1229" s="944">
        <v>39055310600</v>
      </c>
      <c r="B1229" s="239" t="s">
        <v>1247</v>
      </c>
      <c r="C1229" s="286" t="s">
        <v>2975</v>
      </c>
      <c r="D1229" s="865" t="s">
        <v>2975</v>
      </c>
      <c r="E1229" s="287" t="s">
        <v>3563</v>
      </c>
      <c r="F1229" s="287" t="s">
        <v>3558</v>
      </c>
      <c r="G1229" s="288" t="s">
        <v>3569</v>
      </c>
    </row>
    <row r="1230" spans="1:7" x14ac:dyDescent="0.2">
      <c r="A1230" s="944">
        <v>39055310700</v>
      </c>
      <c r="B1230" s="239" t="s">
        <v>1248</v>
      </c>
      <c r="C1230" s="286" t="s">
        <v>2975</v>
      </c>
      <c r="D1230" s="865" t="s">
        <v>2975</v>
      </c>
      <c r="E1230" s="287" t="s">
        <v>3562</v>
      </c>
      <c r="F1230" s="287" t="s">
        <v>3558</v>
      </c>
      <c r="G1230" s="288" t="s">
        <v>3568</v>
      </c>
    </row>
    <row r="1231" spans="1:7" x14ac:dyDescent="0.2">
      <c r="A1231" s="944">
        <v>39055310800</v>
      </c>
      <c r="B1231" s="239" t="s">
        <v>1249</v>
      </c>
      <c r="C1231" s="286" t="s">
        <v>2975</v>
      </c>
      <c r="D1231" s="865" t="s">
        <v>2975</v>
      </c>
      <c r="E1231" s="287" t="s">
        <v>3562</v>
      </c>
      <c r="F1231" s="287" t="s">
        <v>5177</v>
      </c>
      <c r="G1231" s="288" t="s">
        <v>3568</v>
      </c>
    </row>
    <row r="1232" spans="1:7" x14ac:dyDescent="0.2">
      <c r="A1232" s="944">
        <v>39055310900</v>
      </c>
      <c r="B1232" s="239" t="s">
        <v>1250</v>
      </c>
      <c r="C1232" s="286" t="s">
        <v>2975</v>
      </c>
      <c r="D1232" s="865" t="s">
        <v>2975</v>
      </c>
      <c r="E1232" s="287" t="s">
        <v>3563</v>
      </c>
      <c r="F1232" s="287" t="s">
        <v>3565</v>
      </c>
      <c r="G1232" s="288" t="s">
        <v>3568</v>
      </c>
    </row>
    <row r="1233" spans="1:7" x14ac:dyDescent="0.2">
      <c r="A1233" s="944">
        <v>39055311000</v>
      </c>
      <c r="B1233" s="239" t="s">
        <v>1251</v>
      </c>
      <c r="C1233" s="286" t="s">
        <v>2975</v>
      </c>
      <c r="D1233" s="865" t="s">
        <v>2975</v>
      </c>
      <c r="E1233" s="287" t="s">
        <v>3557</v>
      </c>
      <c r="F1233" s="287" t="s">
        <v>5176</v>
      </c>
      <c r="G1233" s="288" t="s">
        <v>3568</v>
      </c>
    </row>
    <row r="1234" spans="1:7" x14ac:dyDescent="0.2">
      <c r="A1234" s="944">
        <v>39055311300</v>
      </c>
      <c r="B1234" s="239" t="s">
        <v>1252</v>
      </c>
      <c r="C1234" s="286" t="s">
        <v>2975</v>
      </c>
      <c r="D1234" s="865" t="s">
        <v>2975</v>
      </c>
      <c r="E1234" s="287" t="s">
        <v>3566</v>
      </c>
      <c r="F1234" s="287" t="s">
        <v>3558</v>
      </c>
      <c r="G1234" s="288" t="s">
        <v>3568</v>
      </c>
    </row>
    <row r="1235" spans="1:7" x14ac:dyDescent="0.2">
      <c r="A1235" s="944">
        <v>39055311400</v>
      </c>
      <c r="B1235" s="239" t="s">
        <v>1253</v>
      </c>
      <c r="C1235" s="286" t="s">
        <v>2975</v>
      </c>
      <c r="D1235" s="865" t="s">
        <v>2975</v>
      </c>
      <c r="E1235" s="287" t="s">
        <v>3563</v>
      </c>
      <c r="F1235" s="287" t="s">
        <v>3559</v>
      </c>
      <c r="G1235" s="288" t="s">
        <v>3568</v>
      </c>
    </row>
    <row r="1236" spans="1:7" x14ac:dyDescent="0.2">
      <c r="A1236" s="944">
        <v>39055311500</v>
      </c>
      <c r="B1236" s="239" t="s">
        <v>1254</v>
      </c>
      <c r="C1236" s="286" t="s">
        <v>2975</v>
      </c>
      <c r="D1236" s="865" t="s">
        <v>2975</v>
      </c>
      <c r="E1236" s="287" t="s">
        <v>3562</v>
      </c>
      <c r="F1236" s="287" t="s">
        <v>3565</v>
      </c>
      <c r="G1236" s="288" t="s">
        <v>3568</v>
      </c>
    </row>
    <row r="1237" spans="1:7" x14ac:dyDescent="0.2">
      <c r="A1237" s="944">
        <v>39055311600</v>
      </c>
      <c r="B1237" s="239" t="s">
        <v>1255</v>
      </c>
      <c r="C1237" s="286" t="s">
        <v>2975</v>
      </c>
      <c r="D1237" s="865" t="s">
        <v>2975</v>
      </c>
      <c r="E1237" s="287" t="s">
        <v>3562</v>
      </c>
      <c r="F1237" s="287" t="s">
        <v>3558</v>
      </c>
      <c r="G1237" s="288" t="s">
        <v>3569</v>
      </c>
    </row>
    <row r="1238" spans="1:7" x14ac:dyDescent="0.2">
      <c r="A1238" s="944">
        <v>39055311700</v>
      </c>
      <c r="B1238" s="239" t="s">
        <v>1256</v>
      </c>
      <c r="C1238" s="286" t="s">
        <v>2975</v>
      </c>
      <c r="D1238" s="865" t="s">
        <v>2975</v>
      </c>
      <c r="E1238" s="287" t="s">
        <v>3562</v>
      </c>
      <c r="F1238" s="287" t="s">
        <v>5177</v>
      </c>
      <c r="G1238" s="288" t="s">
        <v>3569</v>
      </c>
    </row>
    <row r="1239" spans="1:7" x14ac:dyDescent="0.2">
      <c r="A1239" s="944">
        <v>39055311800</v>
      </c>
      <c r="B1239" s="239" t="s">
        <v>1257</v>
      </c>
      <c r="C1239" s="286" t="s">
        <v>2975</v>
      </c>
      <c r="D1239" s="865" t="s">
        <v>2975</v>
      </c>
      <c r="E1239" s="287" t="s">
        <v>3562</v>
      </c>
      <c r="F1239" s="287" t="s">
        <v>5177</v>
      </c>
      <c r="G1239" s="288" t="s">
        <v>3568</v>
      </c>
    </row>
    <row r="1240" spans="1:7" x14ac:dyDescent="0.2">
      <c r="A1240" s="944">
        <v>39055311900</v>
      </c>
      <c r="B1240" s="239" t="s">
        <v>1258</v>
      </c>
      <c r="C1240" s="286" t="s">
        <v>2975</v>
      </c>
      <c r="D1240" s="865" t="s">
        <v>2975</v>
      </c>
      <c r="E1240" s="287" t="s">
        <v>3562</v>
      </c>
      <c r="F1240" s="287" t="s">
        <v>5176</v>
      </c>
      <c r="G1240" s="288" t="s">
        <v>3568</v>
      </c>
    </row>
    <row r="1241" spans="1:7" x14ac:dyDescent="0.2">
      <c r="A1241" s="944">
        <v>39055312000</v>
      </c>
      <c r="B1241" s="239" t="s">
        <v>1259</v>
      </c>
      <c r="C1241" s="286" t="s">
        <v>2975</v>
      </c>
      <c r="D1241" s="865" t="s">
        <v>2975</v>
      </c>
      <c r="E1241" s="287" t="s">
        <v>3566</v>
      </c>
      <c r="F1241" s="287" t="s">
        <v>3559</v>
      </c>
      <c r="G1241" s="288" t="s">
        <v>3568</v>
      </c>
    </row>
    <row r="1242" spans="1:7" x14ac:dyDescent="0.2">
      <c r="A1242" s="944">
        <v>39055312100</v>
      </c>
      <c r="B1242" s="239" t="s">
        <v>1260</v>
      </c>
      <c r="C1242" s="286" t="s">
        <v>2975</v>
      </c>
      <c r="D1242" s="865" t="s">
        <v>2975</v>
      </c>
      <c r="E1242" s="287" t="s">
        <v>3557</v>
      </c>
      <c r="F1242" s="287" t="s">
        <v>3559</v>
      </c>
      <c r="G1242" s="288" t="s">
        <v>3568</v>
      </c>
    </row>
    <row r="1243" spans="1:7" x14ac:dyDescent="0.2">
      <c r="A1243" s="944">
        <v>39055312201</v>
      </c>
      <c r="B1243" s="239" t="s">
        <v>1261</v>
      </c>
      <c r="C1243" s="286" t="s">
        <v>2975</v>
      </c>
      <c r="D1243" s="865" t="s">
        <v>2975</v>
      </c>
      <c r="E1243" s="287" t="s">
        <v>3562</v>
      </c>
      <c r="F1243" s="287" t="s">
        <v>3558</v>
      </c>
      <c r="G1243" s="288" t="s">
        <v>3568</v>
      </c>
    </row>
    <row r="1244" spans="1:7" x14ac:dyDescent="0.2">
      <c r="A1244" s="944">
        <v>39055312202</v>
      </c>
      <c r="B1244" s="239" t="s">
        <v>1262</v>
      </c>
      <c r="C1244" s="286" t="s">
        <v>2975</v>
      </c>
      <c r="D1244" s="865" t="s">
        <v>2975</v>
      </c>
      <c r="E1244" s="287" t="s">
        <v>3562</v>
      </c>
      <c r="F1244" s="287" t="s">
        <v>3558</v>
      </c>
      <c r="G1244" s="288" t="s">
        <v>3568</v>
      </c>
    </row>
    <row r="1245" spans="1:7" x14ac:dyDescent="0.2">
      <c r="A1245" s="944">
        <v>39055312203</v>
      </c>
      <c r="B1245" s="239" t="s">
        <v>1263</v>
      </c>
      <c r="C1245" s="286" t="s">
        <v>2975</v>
      </c>
      <c r="D1245" s="865" t="s">
        <v>2975</v>
      </c>
      <c r="E1245" s="287" t="s">
        <v>3562</v>
      </c>
      <c r="F1245" s="287" t="s">
        <v>3558</v>
      </c>
      <c r="G1245" s="288" t="s">
        <v>3568</v>
      </c>
    </row>
    <row r="1246" spans="1:7" x14ac:dyDescent="0.2">
      <c r="A1246" s="944">
        <v>39055312300</v>
      </c>
      <c r="B1246" s="239" t="s">
        <v>1264</v>
      </c>
      <c r="C1246" s="286" t="s">
        <v>2975</v>
      </c>
      <c r="D1246" s="865" t="s">
        <v>2975</v>
      </c>
      <c r="E1246" s="287" t="s">
        <v>3566</v>
      </c>
      <c r="F1246" s="287" t="s">
        <v>3558</v>
      </c>
      <c r="G1246" s="288" t="s">
        <v>3568</v>
      </c>
    </row>
    <row r="1247" spans="1:7" x14ac:dyDescent="0.2">
      <c r="A1247" s="944">
        <v>39055312400</v>
      </c>
      <c r="B1247" s="239" t="s">
        <v>1265</v>
      </c>
      <c r="C1247" s="286" t="s">
        <v>2975</v>
      </c>
      <c r="D1247" s="865" t="s">
        <v>2975</v>
      </c>
      <c r="E1247" s="287" t="s">
        <v>3557</v>
      </c>
      <c r="F1247" s="287" t="s">
        <v>5177</v>
      </c>
      <c r="G1247" s="288" t="s">
        <v>3568</v>
      </c>
    </row>
    <row r="1248" spans="1:7" x14ac:dyDescent="0.2">
      <c r="A1248" s="944">
        <v>39057200101</v>
      </c>
      <c r="B1248" s="239" t="s">
        <v>1266</v>
      </c>
      <c r="C1248" s="286" t="s">
        <v>2975</v>
      </c>
      <c r="D1248" s="865" t="s">
        <v>2975</v>
      </c>
      <c r="E1248" s="287" t="s">
        <v>3557</v>
      </c>
      <c r="F1248" s="287" t="s">
        <v>5176</v>
      </c>
      <c r="G1248" s="288" t="s">
        <v>3569</v>
      </c>
    </row>
    <row r="1249" spans="1:7" x14ac:dyDescent="0.2">
      <c r="A1249" s="944">
        <v>39057200103</v>
      </c>
      <c r="B1249" s="239" t="s">
        <v>1267</v>
      </c>
      <c r="C1249" s="286" t="s">
        <v>2975</v>
      </c>
      <c r="D1249" s="865" t="s">
        <v>2975</v>
      </c>
      <c r="E1249" s="287" t="s">
        <v>3566</v>
      </c>
      <c r="F1249" s="287" t="s">
        <v>3559</v>
      </c>
      <c r="G1249" s="288" t="s">
        <v>3569</v>
      </c>
    </row>
    <row r="1250" spans="1:7" x14ac:dyDescent="0.2">
      <c r="A1250" s="944">
        <v>39057200104</v>
      </c>
      <c r="B1250" s="239" t="s">
        <v>1268</v>
      </c>
      <c r="C1250" s="286" t="s">
        <v>4330</v>
      </c>
      <c r="D1250" s="865" t="s">
        <v>4330</v>
      </c>
      <c r="E1250" s="287" t="s">
        <v>3564</v>
      </c>
      <c r="F1250" s="287" t="s">
        <v>5176</v>
      </c>
      <c r="G1250" s="288" t="s">
        <v>3569</v>
      </c>
    </row>
    <row r="1251" spans="1:7" x14ac:dyDescent="0.2">
      <c r="A1251" s="944">
        <v>39057200300</v>
      </c>
      <c r="B1251" s="239" t="s">
        <v>1269</v>
      </c>
      <c r="C1251" s="286" t="s">
        <v>2975</v>
      </c>
      <c r="D1251" s="865" t="s">
        <v>2975</v>
      </c>
      <c r="E1251" s="287" t="s">
        <v>3564</v>
      </c>
      <c r="F1251" s="287" t="s">
        <v>5177</v>
      </c>
      <c r="G1251" s="288" t="s">
        <v>3569</v>
      </c>
    </row>
    <row r="1252" spans="1:7" x14ac:dyDescent="0.2">
      <c r="A1252" s="944">
        <v>39057200400</v>
      </c>
      <c r="B1252" s="239" t="s">
        <v>1270</v>
      </c>
      <c r="C1252" s="286" t="s">
        <v>4330</v>
      </c>
      <c r="D1252" s="865" t="s">
        <v>4330</v>
      </c>
      <c r="E1252" s="287" t="s">
        <v>3557</v>
      </c>
      <c r="F1252" s="287" t="s">
        <v>3558</v>
      </c>
      <c r="G1252" s="288" t="s">
        <v>3569</v>
      </c>
    </row>
    <row r="1253" spans="1:7" x14ac:dyDescent="0.2">
      <c r="A1253" s="944">
        <v>39057200500</v>
      </c>
      <c r="B1253" s="239" t="s">
        <v>1271</v>
      </c>
      <c r="C1253" s="286" t="s">
        <v>4330</v>
      </c>
      <c r="D1253" s="865" t="s">
        <v>2975</v>
      </c>
      <c r="E1253" s="287" t="s">
        <v>3557</v>
      </c>
      <c r="F1253" s="287" t="s">
        <v>5176</v>
      </c>
      <c r="G1253" s="288" t="s">
        <v>3569</v>
      </c>
    </row>
    <row r="1254" spans="1:7" x14ac:dyDescent="0.2">
      <c r="A1254" s="944">
        <v>39057200600</v>
      </c>
      <c r="B1254" s="239" t="s">
        <v>1272</v>
      </c>
      <c r="C1254" s="286" t="s">
        <v>2975</v>
      </c>
      <c r="D1254" s="865" t="s">
        <v>2975</v>
      </c>
      <c r="E1254" s="287" t="s">
        <v>3566</v>
      </c>
      <c r="F1254" s="287" t="s">
        <v>3559</v>
      </c>
      <c r="G1254" s="288" t="s">
        <v>3569</v>
      </c>
    </row>
    <row r="1255" spans="1:7" x14ac:dyDescent="0.2">
      <c r="A1255" s="944">
        <v>39057200700</v>
      </c>
      <c r="B1255" s="239" t="s">
        <v>1273</v>
      </c>
      <c r="C1255" s="286" t="s">
        <v>4330</v>
      </c>
      <c r="D1255" s="865" t="s">
        <v>4330</v>
      </c>
      <c r="E1255" s="287" t="s">
        <v>3557</v>
      </c>
      <c r="F1255" s="287" t="s">
        <v>5176</v>
      </c>
      <c r="G1255" s="288" t="s">
        <v>3569</v>
      </c>
    </row>
    <row r="1256" spans="1:7" x14ac:dyDescent="0.2">
      <c r="A1256" s="944">
        <v>39057200900</v>
      </c>
      <c r="B1256" s="239" t="s">
        <v>1274</v>
      </c>
      <c r="C1256" s="286" t="s">
        <v>2975</v>
      </c>
      <c r="D1256" s="865" t="s">
        <v>2975</v>
      </c>
      <c r="E1256" s="287" t="s">
        <v>3562</v>
      </c>
      <c r="F1256" s="287" t="s">
        <v>3565</v>
      </c>
      <c r="G1256" s="288" t="s">
        <v>3568</v>
      </c>
    </row>
    <row r="1257" spans="1:7" x14ac:dyDescent="0.2">
      <c r="A1257" s="944">
        <v>39057210100</v>
      </c>
      <c r="B1257" s="239" t="s">
        <v>1275</v>
      </c>
      <c r="C1257" s="286" t="s">
        <v>2975</v>
      </c>
      <c r="D1257" s="865" t="s">
        <v>2975</v>
      </c>
      <c r="E1257" s="287" t="s">
        <v>3562</v>
      </c>
      <c r="F1257" s="287" t="s">
        <v>3565</v>
      </c>
      <c r="G1257" s="288" t="s">
        <v>3569</v>
      </c>
    </row>
    <row r="1258" spans="1:7" x14ac:dyDescent="0.2">
      <c r="A1258" s="944">
        <v>39057210200</v>
      </c>
      <c r="B1258" s="239" t="s">
        <v>1276</v>
      </c>
      <c r="C1258" s="286" t="s">
        <v>2975</v>
      </c>
      <c r="D1258" s="865" t="s">
        <v>2975</v>
      </c>
      <c r="E1258" s="287" t="s">
        <v>3562</v>
      </c>
      <c r="F1258" s="287" t="s">
        <v>3559</v>
      </c>
      <c r="G1258" s="288" t="s">
        <v>3569</v>
      </c>
    </row>
    <row r="1259" spans="1:7" x14ac:dyDescent="0.2">
      <c r="A1259" s="944">
        <v>39057210300</v>
      </c>
      <c r="B1259" s="239" t="s">
        <v>1277</v>
      </c>
      <c r="C1259" s="286" t="s">
        <v>2975</v>
      </c>
      <c r="D1259" s="865" t="s">
        <v>2975</v>
      </c>
      <c r="E1259" s="287" t="s">
        <v>3563</v>
      </c>
      <c r="F1259" s="287" t="s">
        <v>3559</v>
      </c>
      <c r="G1259" s="288" t="s">
        <v>3569</v>
      </c>
    </row>
    <row r="1260" spans="1:7" x14ac:dyDescent="0.2">
      <c r="A1260" s="944">
        <v>39057210401</v>
      </c>
      <c r="B1260" s="239" t="s">
        <v>1278</v>
      </c>
      <c r="C1260" s="286" t="s">
        <v>2975</v>
      </c>
      <c r="D1260" s="865" t="s">
        <v>2975</v>
      </c>
      <c r="E1260" s="287" t="s">
        <v>3562</v>
      </c>
      <c r="F1260" s="287" t="s">
        <v>3559</v>
      </c>
      <c r="G1260" s="288" t="s">
        <v>3569</v>
      </c>
    </row>
    <row r="1261" spans="1:7" x14ac:dyDescent="0.2">
      <c r="A1261" s="944">
        <v>39057210402</v>
      </c>
      <c r="B1261" s="239" t="s">
        <v>1279</v>
      </c>
      <c r="C1261" s="286" t="s">
        <v>2975</v>
      </c>
      <c r="D1261" s="865" t="s">
        <v>2975</v>
      </c>
      <c r="E1261" s="287" t="s">
        <v>3563</v>
      </c>
      <c r="F1261" s="287" t="s">
        <v>3565</v>
      </c>
      <c r="G1261" s="288" t="s">
        <v>3569</v>
      </c>
    </row>
    <row r="1262" spans="1:7" x14ac:dyDescent="0.2">
      <c r="A1262" s="944">
        <v>39057210500</v>
      </c>
      <c r="B1262" s="239" t="s">
        <v>1280</v>
      </c>
      <c r="C1262" s="286" t="s">
        <v>2975</v>
      </c>
      <c r="D1262" s="865" t="s">
        <v>2975</v>
      </c>
      <c r="E1262" s="287" t="s">
        <v>3562</v>
      </c>
      <c r="F1262" s="287" t="s">
        <v>5176</v>
      </c>
      <c r="G1262" s="288" t="s">
        <v>3568</v>
      </c>
    </row>
    <row r="1263" spans="1:7" x14ac:dyDescent="0.2">
      <c r="A1263" s="944">
        <v>39057210601</v>
      </c>
      <c r="B1263" s="239" t="s">
        <v>1281</v>
      </c>
      <c r="C1263" s="286" t="s">
        <v>2975</v>
      </c>
      <c r="D1263" s="865" t="s">
        <v>2975</v>
      </c>
      <c r="E1263" s="287" t="s">
        <v>3562</v>
      </c>
      <c r="F1263" s="287" t="s">
        <v>3558</v>
      </c>
      <c r="G1263" s="288" t="s">
        <v>3569</v>
      </c>
    </row>
    <row r="1264" spans="1:7" x14ac:dyDescent="0.2">
      <c r="A1264" s="944">
        <v>39057210602</v>
      </c>
      <c r="B1264" s="239" t="s">
        <v>1282</v>
      </c>
      <c r="C1264" s="286" t="s">
        <v>2975</v>
      </c>
      <c r="D1264" s="865" t="s">
        <v>2975</v>
      </c>
      <c r="E1264" s="287" t="s">
        <v>3563</v>
      </c>
      <c r="F1264" s="287" t="s">
        <v>3558</v>
      </c>
      <c r="G1264" s="288" t="s">
        <v>3569</v>
      </c>
    </row>
    <row r="1265" spans="1:7" x14ac:dyDescent="0.2">
      <c r="A1265" s="944">
        <v>39057210603</v>
      </c>
      <c r="B1265" s="239" t="s">
        <v>1283</v>
      </c>
      <c r="C1265" s="286" t="s">
        <v>2975</v>
      </c>
      <c r="D1265" s="865" t="s">
        <v>2975</v>
      </c>
      <c r="E1265" s="287" t="s">
        <v>3562</v>
      </c>
      <c r="F1265" s="287" t="s">
        <v>3559</v>
      </c>
      <c r="G1265" s="288" t="s">
        <v>3568</v>
      </c>
    </row>
    <row r="1266" spans="1:7" x14ac:dyDescent="0.2">
      <c r="A1266" s="944">
        <v>39057220100</v>
      </c>
      <c r="B1266" s="239" t="s">
        <v>1284</v>
      </c>
      <c r="C1266" s="286" t="s">
        <v>2975</v>
      </c>
      <c r="D1266" s="865" t="s">
        <v>2975</v>
      </c>
      <c r="E1266" s="287" t="s">
        <v>3562</v>
      </c>
      <c r="F1266" s="287" t="s">
        <v>5176</v>
      </c>
      <c r="G1266" s="288" t="s">
        <v>3568</v>
      </c>
    </row>
    <row r="1267" spans="1:7" x14ac:dyDescent="0.2">
      <c r="A1267" s="944">
        <v>39057220200</v>
      </c>
      <c r="B1267" s="239" t="s">
        <v>1285</v>
      </c>
      <c r="C1267" s="286" t="s">
        <v>2975</v>
      </c>
      <c r="D1267" s="865" t="s">
        <v>2975</v>
      </c>
      <c r="E1267" s="287" t="s">
        <v>3562</v>
      </c>
      <c r="F1267" s="287" t="s">
        <v>5177</v>
      </c>
      <c r="G1267" s="288" t="s">
        <v>3569</v>
      </c>
    </row>
    <row r="1268" spans="1:7" x14ac:dyDescent="0.2">
      <c r="A1268" s="944">
        <v>39057230100</v>
      </c>
      <c r="B1268" s="239" t="s">
        <v>1286</v>
      </c>
      <c r="C1268" s="286" t="s">
        <v>2975</v>
      </c>
      <c r="D1268" s="865" t="s">
        <v>2975</v>
      </c>
      <c r="E1268" s="287" t="s">
        <v>3563</v>
      </c>
      <c r="F1268" s="287" t="s">
        <v>5176</v>
      </c>
      <c r="G1268" s="288" t="s">
        <v>3568</v>
      </c>
    </row>
    <row r="1269" spans="1:7" x14ac:dyDescent="0.2">
      <c r="A1269" s="944">
        <v>39057240100</v>
      </c>
      <c r="B1269" s="239" t="s">
        <v>1287</v>
      </c>
      <c r="C1269" s="286" t="s">
        <v>2975</v>
      </c>
      <c r="D1269" s="865" t="s">
        <v>2975</v>
      </c>
      <c r="E1269" s="287" t="s">
        <v>3566</v>
      </c>
      <c r="F1269" s="287" t="s">
        <v>3565</v>
      </c>
      <c r="G1269" s="288" t="s">
        <v>3568</v>
      </c>
    </row>
    <row r="1270" spans="1:7" x14ac:dyDescent="0.2">
      <c r="A1270" s="944">
        <v>39057240200</v>
      </c>
      <c r="B1270" s="239" t="s">
        <v>1288</v>
      </c>
      <c r="C1270" s="286" t="s">
        <v>2975</v>
      </c>
      <c r="D1270" s="865" t="s">
        <v>2975</v>
      </c>
      <c r="E1270" s="287" t="s">
        <v>3557</v>
      </c>
      <c r="F1270" s="287" t="s">
        <v>3559</v>
      </c>
      <c r="G1270" s="288" t="s">
        <v>3569</v>
      </c>
    </row>
    <row r="1271" spans="1:7" x14ac:dyDescent="0.2">
      <c r="A1271" s="944">
        <v>39057240301</v>
      </c>
      <c r="B1271" s="239" t="s">
        <v>1289</v>
      </c>
      <c r="C1271" s="286" t="s">
        <v>2975</v>
      </c>
      <c r="D1271" s="865" t="s">
        <v>2975</v>
      </c>
      <c r="E1271" s="287" t="s">
        <v>3564</v>
      </c>
      <c r="F1271" s="287" t="s">
        <v>3565</v>
      </c>
      <c r="G1271" s="288" t="s">
        <v>3569</v>
      </c>
    </row>
    <row r="1272" spans="1:7" x14ac:dyDescent="0.2">
      <c r="A1272" s="944">
        <v>39057240302</v>
      </c>
      <c r="B1272" s="239" t="s">
        <v>1290</v>
      </c>
      <c r="C1272" s="286" t="s">
        <v>4330</v>
      </c>
      <c r="D1272" s="865" t="s">
        <v>4330</v>
      </c>
      <c r="E1272" s="287" t="s">
        <v>3557</v>
      </c>
      <c r="F1272" s="287" t="s">
        <v>3559</v>
      </c>
      <c r="G1272" s="288" t="s">
        <v>3568</v>
      </c>
    </row>
    <row r="1273" spans="1:7" x14ac:dyDescent="0.2">
      <c r="A1273" s="944">
        <v>39057240500</v>
      </c>
      <c r="B1273" s="239" t="s">
        <v>1291</v>
      </c>
      <c r="C1273" s="286" t="s">
        <v>2975</v>
      </c>
      <c r="D1273" s="865" t="s">
        <v>2975</v>
      </c>
      <c r="E1273" s="287" t="s">
        <v>3564</v>
      </c>
      <c r="F1273" s="287" t="s">
        <v>3565</v>
      </c>
      <c r="G1273" s="288" t="s">
        <v>3569</v>
      </c>
    </row>
    <row r="1274" spans="1:7" x14ac:dyDescent="0.2">
      <c r="A1274" s="944">
        <v>39057240600</v>
      </c>
      <c r="B1274" s="239" t="s">
        <v>1292</v>
      </c>
      <c r="C1274" s="286" t="s">
        <v>2975</v>
      </c>
      <c r="D1274" s="865" t="s">
        <v>2975</v>
      </c>
      <c r="E1274" s="287" t="s">
        <v>3557</v>
      </c>
      <c r="F1274" s="287" t="s">
        <v>3559</v>
      </c>
      <c r="G1274" s="288" t="s">
        <v>3568</v>
      </c>
    </row>
    <row r="1275" spans="1:7" x14ac:dyDescent="0.2">
      <c r="A1275" s="944">
        <v>39057240700</v>
      </c>
      <c r="B1275" s="239" t="s">
        <v>1293</v>
      </c>
      <c r="C1275" s="286" t="s">
        <v>2975</v>
      </c>
      <c r="D1275" s="865" t="s">
        <v>2975</v>
      </c>
      <c r="E1275" s="287" t="s">
        <v>3564</v>
      </c>
      <c r="F1275" s="287" t="s">
        <v>5176</v>
      </c>
      <c r="G1275" s="288" t="s">
        <v>3568</v>
      </c>
    </row>
    <row r="1276" spans="1:7" x14ac:dyDescent="0.2">
      <c r="A1276" s="944">
        <v>39057255000</v>
      </c>
      <c r="B1276" s="239" t="s">
        <v>1294</v>
      </c>
      <c r="C1276" s="286" t="s">
        <v>2975</v>
      </c>
      <c r="D1276" s="865" t="s">
        <v>2975</v>
      </c>
      <c r="E1276" s="287" t="s">
        <v>3562</v>
      </c>
      <c r="F1276" s="287" t="s">
        <v>3565</v>
      </c>
      <c r="G1276" s="288" t="s">
        <v>3568</v>
      </c>
    </row>
    <row r="1277" spans="1:7" x14ac:dyDescent="0.2">
      <c r="A1277" s="944">
        <v>39057260100</v>
      </c>
      <c r="B1277" s="239" t="s">
        <v>1295</v>
      </c>
      <c r="C1277" s="286" t="s">
        <v>2975</v>
      </c>
      <c r="D1277" s="865" t="s">
        <v>2975</v>
      </c>
      <c r="E1277" s="287" t="s">
        <v>3562</v>
      </c>
      <c r="F1277" s="287" t="s">
        <v>3559</v>
      </c>
      <c r="G1277" s="288" t="s">
        <v>3568</v>
      </c>
    </row>
    <row r="1278" spans="1:7" x14ac:dyDescent="0.2">
      <c r="A1278" s="944">
        <v>39057270100</v>
      </c>
      <c r="B1278" s="239" t="s">
        <v>1296</v>
      </c>
      <c r="C1278" s="286" t="s">
        <v>2975</v>
      </c>
      <c r="D1278" s="865" t="s">
        <v>2975</v>
      </c>
      <c r="E1278" s="287" t="s">
        <v>3564</v>
      </c>
      <c r="F1278" s="287" t="s">
        <v>5176</v>
      </c>
      <c r="G1278" s="288" t="s">
        <v>3568</v>
      </c>
    </row>
    <row r="1279" spans="1:7" x14ac:dyDescent="0.2">
      <c r="A1279" s="944">
        <v>39057280101</v>
      </c>
      <c r="B1279" s="239" t="s">
        <v>1297</v>
      </c>
      <c r="C1279" s="286" t="s">
        <v>2975</v>
      </c>
      <c r="D1279" s="865" t="s">
        <v>2975</v>
      </c>
      <c r="E1279" s="287" t="s">
        <v>3566</v>
      </c>
      <c r="F1279" s="287" t="s">
        <v>3558</v>
      </c>
      <c r="G1279" s="288" t="s">
        <v>3568</v>
      </c>
    </row>
    <row r="1280" spans="1:7" x14ac:dyDescent="0.2">
      <c r="A1280" s="944">
        <v>39057280102</v>
      </c>
      <c r="B1280" s="239" t="s">
        <v>1298</v>
      </c>
      <c r="C1280" s="286" t="s">
        <v>2975</v>
      </c>
      <c r="D1280" s="865" t="s">
        <v>2975</v>
      </c>
      <c r="E1280" s="287" t="s">
        <v>3566</v>
      </c>
      <c r="F1280" s="287" t="s">
        <v>5176</v>
      </c>
      <c r="G1280" s="288" t="s">
        <v>3568</v>
      </c>
    </row>
    <row r="1281" spans="1:7" x14ac:dyDescent="0.2">
      <c r="A1281" s="944">
        <v>39057280200</v>
      </c>
      <c r="B1281" s="239" t="s">
        <v>1299</v>
      </c>
      <c r="C1281" s="286" t="s">
        <v>2975</v>
      </c>
      <c r="D1281" s="865" t="s">
        <v>2975</v>
      </c>
      <c r="E1281" s="287" t="s">
        <v>3562</v>
      </c>
      <c r="F1281" s="287" t="s">
        <v>3558</v>
      </c>
      <c r="G1281" s="288" t="s">
        <v>3568</v>
      </c>
    </row>
    <row r="1282" spans="1:7" x14ac:dyDescent="0.2">
      <c r="A1282" s="944">
        <v>39057280300</v>
      </c>
      <c r="B1282" s="239" t="s">
        <v>1300</v>
      </c>
      <c r="C1282" s="286" t="s">
        <v>2975</v>
      </c>
      <c r="D1282" s="865" t="s">
        <v>2975</v>
      </c>
      <c r="E1282" s="287" t="s">
        <v>3562</v>
      </c>
      <c r="F1282" s="287" t="s">
        <v>5176</v>
      </c>
      <c r="G1282" s="288" t="s">
        <v>3568</v>
      </c>
    </row>
    <row r="1283" spans="1:7" x14ac:dyDescent="0.2">
      <c r="A1283" s="944">
        <v>39059977100</v>
      </c>
      <c r="B1283" s="239" t="s">
        <v>1301</v>
      </c>
      <c r="C1283" s="286" t="s">
        <v>2975</v>
      </c>
      <c r="D1283" s="865" t="s">
        <v>2975</v>
      </c>
      <c r="E1283" s="287" t="s">
        <v>3557</v>
      </c>
      <c r="F1283" s="287" t="s">
        <v>5177</v>
      </c>
      <c r="G1283" s="288" t="s">
        <v>3568</v>
      </c>
    </row>
    <row r="1284" spans="1:7" x14ac:dyDescent="0.2">
      <c r="A1284" s="944">
        <v>39059977200</v>
      </c>
      <c r="B1284" s="239" t="s">
        <v>1302</v>
      </c>
      <c r="C1284" s="286" t="s">
        <v>2975</v>
      </c>
      <c r="D1284" s="865" t="s">
        <v>2975</v>
      </c>
      <c r="E1284" s="287" t="s">
        <v>3564</v>
      </c>
      <c r="F1284" s="287" t="s">
        <v>3558</v>
      </c>
      <c r="G1284" s="288" t="s">
        <v>3568</v>
      </c>
    </row>
    <row r="1285" spans="1:7" x14ac:dyDescent="0.2">
      <c r="A1285" s="944">
        <v>39059977300</v>
      </c>
      <c r="B1285" s="239" t="s">
        <v>1303</v>
      </c>
      <c r="C1285" s="286" t="s">
        <v>4330</v>
      </c>
      <c r="D1285" s="865" t="s">
        <v>4330</v>
      </c>
      <c r="E1285" s="287" t="s">
        <v>3557</v>
      </c>
      <c r="F1285" s="287" t="s">
        <v>5176</v>
      </c>
      <c r="G1285" s="288" t="s">
        <v>3568</v>
      </c>
    </row>
    <row r="1286" spans="1:7" x14ac:dyDescent="0.2">
      <c r="A1286" s="944">
        <v>39059977400</v>
      </c>
      <c r="B1286" s="239" t="s">
        <v>1304</v>
      </c>
      <c r="C1286" s="286" t="s">
        <v>2975</v>
      </c>
      <c r="D1286" s="865" t="s">
        <v>2975</v>
      </c>
      <c r="E1286" s="287" t="s">
        <v>3564</v>
      </c>
      <c r="F1286" s="287" t="s">
        <v>5176</v>
      </c>
      <c r="G1286" s="288" t="s">
        <v>3568</v>
      </c>
    </row>
    <row r="1287" spans="1:7" x14ac:dyDescent="0.2">
      <c r="A1287" s="944">
        <v>39059977500</v>
      </c>
      <c r="B1287" s="239" t="s">
        <v>1305</v>
      </c>
      <c r="C1287" s="286" t="s">
        <v>4330</v>
      </c>
      <c r="D1287" s="865" t="s">
        <v>4330</v>
      </c>
      <c r="E1287" s="287" t="s">
        <v>3566</v>
      </c>
      <c r="F1287" s="287" t="s">
        <v>3558</v>
      </c>
      <c r="G1287" s="288" t="s">
        <v>5175</v>
      </c>
    </row>
    <row r="1288" spans="1:7" x14ac:dyDescent="0.2">
      <c r="A1288" s="944">
        <v>39059977600</v>
      </c>
      <c r="B1288" s="239" t="s">
        <v>1306</v>
      </c>
      <c r="C1288" s="286" t="s">
        <v>4330</v>
      </c>
      <c r="D1288" s="865" t="s">
        <v>4330</v>
      </c>
      <c r="E1288" s="287" t="s">
        <v>3557</v>
      </c>
      <c r="F1288" s="287" t="s">
        <v>3559</v>
      </c>
      <c r="G1288" s="288" t="s">
        <v>5175</v>
      </c>
    </row>
    <row r="1289" spans="1:7" x14ac:dyDescent="0.2">
      <c r="A1289" s="944">
        <v>39059977700</v>
      </c>
      <c r="B1289" s="239" t="s">
        <v>1307</v>
      </c>
      <c r="C1289" s="286" t="s">
        <v>2975</v>
      </c>
      <c r="D1289" s="865" t="s">
        <v>2975</v>
      </c>
      <c r="E1289" s="287" t="s">
        <v>3566</v>
      </c>
      <c r="F1289" s="287" t="s">
        <v>5176</v>
      </c>
      <c r="G1289" s="288" t="s">
        <v>3568</v>
      </c>
    </row>
    <row r="1290" spans="1:7" x14ac:dyDescent="0.2">
      <c r="A1290" s="944">
        <v>39059977800</v>
      </c>
      <c r="B1290" s="239" t="s">
        <v>1308</v>
      </c>
      <c r="C1290" s="286" t="s">
        <v>2975</v>
      </c>
      <c r="D1290" s="865" t="s">
        <v>2975</v>
      </c>
      <c r="E1290" s="287" t="s">
        <v>3564</v>
      </c>
      <c r="F1290" s="287" t="s">
        <v>3559</v>
      </c>
      <c r="G1290" s="288" t="s">
        <v>3568</v>
      </c>
    </row>
    <row r="1291" spans="1:7" x14ac:dyDescent="0.2">
      <c r="A1291" s="944">
        <v>39059977900</v>
      </c>
      <c r="B1291" s="239" t="s">
        <v>1309</v>
      </c>
      <c r="C1291" s="286" t="s">
        <v>2975</v>
      </c>
      <c r="D1291" s="865" t="s">
        <v>4330</v>
      </c>
      <c r="E1291" s="287" t="s">
        <v>3557</v>
      </c>
      <c r="F1291" s="287" t="s">
        <v>3565</v>
      </c>
      <c r="G1291" s="288" t="s">
        <v>3568</v>
      </c>
    </row>
    <row r="1292" spans="1:7" x14ac:dyDescent="0.2">
      <c r="A1292" s="944">
        <v>39059978000</v>
      </c>
      <c r="B1292" s="239" t="s">
        <v>1310</v>
      </c>
      <c r="C1292" s="286" t="s">
        <v>2975</v>
      </c>
      <c r="D1292" s="865" t="s">
        <v>2975</v>
      </c>
      <c r="E1292" s="287" t="s">
        <v>3564</v>
      </c>
      <c r="F1292" s="287" t="s">
        <v>3558</v>
      </c>
      <c r="G1292" s="288" t="s">
        <v>3568</v>
      </c>
    </row>
    <row r="1293" spans="1:7" x14ac:dyDescent="0.2">
      <c r="A1293" s="944">
        <v>39061000200</v>
      </c>
      <c r="B1293" s="239" t="s">
        <v>1311</v>
      </c>
      <c r="C1293" s="286" t="s">
        <v>4330</v>
      </c>
      <c r="D1293" s="865" t="s">
        <v>4330</v>
      </c>
      <c r="E1293" s="287" t="s">
        <v>3557</v>
      </c>
      <c r="F1293" s="287" t="s">
        <v>3558</v>
      </c>
      <c r="G1293" s="288" t="s">
        <v>3553</v>
      </c>
    </row>
    <row r="1294" spans="1:7" x14ac:dyDescent="0.2">
      <c r="A1294" s="944">
        <v>39061000700</v>
      </c>
      <c r="B1294" s="239" t="s">
        <v>1312</v>
      </c>
      <c r="C1294" s="286" t="s">
        <v>2975</v>
      </c>
      <c r="D1294" s="865" t="s">
        <v>2975</v>
      </c>
      <c r="E1294" s="287" t="s">
        <v>3562</v>
      </c>
      <c r="F1294" s="287" t="s">
        <v>5177</v>
      </c>
      <c r="G1294" s="288" t="s">
        <v>3553</v>
      </c>
    </row>
    <row r="1295" spans="1:7" x14ac:dyDescent="0.2">
      <c r="A1295" s="944">
        <v>39061000900</v>
      </c>
      <c r="B1295" s="239" t="s">
        <v>1313</v>
      </c>
      <c r="C1295" s="286" t="s">
        <v>4330</v>
      </c>
      <c r="D1295" s="865" t="s">
        <v>4330</v>
      </c>
      <c r="E1295" s="287" t="s">
        <v>3563</v>
      </c>
      <c r="F1295" s="287" t="s">
        <v>3561</v>
      </c>
      <c r="G1295" s="288" t="s">
        <v>3553</v>
      </c>
    </row>
    <row r="1296" spans="1:7" x14ac:dyDescent="0.2">
      <c r="A1296" s="944">
        <v>39061001000</v>
      </c>
      <c r="B1296" s="239" t="s">
        <v>1314</v>
      </c>
      <c r="C1296" s="286" t="s">
        <v>2975</v>
      </c>
      <c r="D1296" s="865" t="s">
        <v>4330</v>
      </c>
      <c r="E1296" s="287" t="s">
        <v>3562</v>
      </c>
      <c r="F1296" s="287" t="s">
        <v>3561</v>
      </c>
      <c r="G1296" s="288" t="s">
        <v>3553</v>
      </c>
    </row>
    <row r="1297" spans="1:7" x14ac:dyDescent="0.2">
      <c r="A1297" s="944">
        <v>39061001100</v>
      </c>
      <c r="B1297" s="239" t="s">
        <v>1315</v>
      </c>
      <c r="C1297" s="286" t="s">
        <v>4330</v>
      </c>
      <c r="D1297" s="865" t="s">
        <v>4330</v>
      </c>
      <c r="E1297" s="287" t="s">
        <v>3562</v>
      </c>
      <c r="F1297" s="287" t="s">
        <v>3561</v>
      </c>
      <c r="G1297" s="288" t="s">
        <v>3553</v>
      </c>
    </row>
    <row r="1298" spans="1:7" x14ac:dyDescent="0.2">
      <c r="A1298" s="944">
        <v>39061001600</v>
      </c>
      <c r="B1298" s="239" t="s">
        <v>1316</v>
      </c>
      <c r="C1298" s="286" t="s">
        <v>4330</v>
      </c>
      <c r="D1298" s="865" t="s">
        <v>4330</v>
      </c>
      <c r="E1298" s="287" t="s">
        <v>3564</v>
      </c>
      <c r="F1298" s="287" t="s">
        <v>5177</v>
      </c>
      <c r="G1298" s="288" t="s">
        <v>3553</v>
      </c>
    </row>
    <row r="1299" spans="1:7" x14ac:dyDescent="0.2">
      <c r="A1299" s="944">
        <v>39061001700</v>
      </c>
      <c r="B1299" s="239" t="s">
        <v>1317</v>
      </c>
      <c r="C1299" s="286" t="s">
        <v>4330</v>
      </c>
      <c r="D1299" s="865" t="s">
        <v>4330</v>
      </c>
      <c r="E1299" s="287" t="s">
        <v>3566</v>
      </c>
      <c r="F1299" s="287" t="s">
        <v>3561</v>
      </c>
      <c r="G1299" s="288" t="s">
        <v>3553</v>
      </c>
    </row>
    <row r="1300" spans="1:7" x14ac:dyDescent="0.2">
      <c r="A1300" s="944">
        <v>39061001800</v>
      </c>
      <c r="B1300" s="239" t="s">
        <v>1318</v>
      </c>
      <c r="C1300" s="286" t="s">
        <v>2975</v>
      </c>
      <c r="D1300" s="865" t="s">
        <v>2975</v>
      </c>
      <c r="E1300" s="287" t="s">
        <v>3562</v>
      </c>
      <c r="F1300" s="287" t="s">
        <v>3559</v>
      </c>
      <c r="G1300" s="288" t="s">
        <v>3553</v>
      </c>
    </row>
    <row r="1301" spans="1:7" x14ac:dyDescent="0.2">
      <c r="A1301" s="944">
        <v>39061001900</v>
      </c>
      <c r="B1301" s="239" t="s">
        <v>1319</v>
      </c>
      <c r="C1301" s="286" t="s">
        <v>2975</v>
      </c>
      <c r="D1301" s="865" t="s">
        <v>2975</v>
      </c>
      <c r="E1301" s="287" t="s">
        <v>3562</v>
      </c>
      <c r="F1301" s="287" t="s">
        <v>5176</v>
      </c>
      <c r="G1301" s="288" t="s">
        <v>3553</v>
      </c>
    </row>
    <row r="1302" spans="1:7" x14ac:dyDescent="0.2">
      <c r="A1302" s="944">
        <v>39061002000</v>
      </c>
      <c r="B1302" s="239" t="s">
        <v>1320</v>
      </c>
      <c r="C1302" s="286" t="s">
        <v>2975</v>
      </c>
      <c r="D1302" s="865" t="s">
        <v>2975</v>
      </c>
      <c r="E1302" s="287" t="s">
        <v>3562</v>
      </c>
      <c r="F1302" s="287" t="s">
        <v>5177</v>
      </c>
      <c r="G1302" s="288" t="s">
        <v>3553</v>
      </c>
    </row>
    <row r="1303" spans="1:7" x14ac:dyDescent="0.2">
      <c r="A1303" s="944">
        <v>39061002200</v>
      </c>
      <c r="B1303" s="239" t="s">
        <v>1321</v>
      </c>
      <c r="C1303" s="286" t="s">
        <v>4330</v>
      </c>
      <c r="D1303" s="865" t="s">
        <v>4330</v>
      </c>
      <c r="E1303" s="287" t="s">
        <v>3564</v>
      </c>
      <c r="F1303" s="287" t="s">
        <v>3565</v>
      </c>
      <c r="G1303" s="288" t="s">
        <v>3553</v>
      </c>
    </row>
    <row r="1304" spans="1:7" x14ac:dyDescent="0.2">
      <c r="A1304" s="944">
        <v>39061002300</v>
      </c>
      <c r="B1304" s="239" t="s">
        <v>1322</v>
      </c>
      <c r="C1304" s="286" t="s">
        <v>4330</v>
      </c>
      <c r="D1304" s="865" t="s">
        <v>4330</v>
      </c>
      <c r="E1304" s="287" t="s">
        <v>3563</v>
      </c>
      <c r="F1304" s="287" t="s">
        <v>5177</v>
      </c>
      <c r="G1304" s="288" t="s">
        <v>3553</v>
      </c>
    </row>
    <row r="1305" spans="1:7" x14ac:dyDescent="0.2">
      <c r="A1305" s="944">
        <v>39061002500</v>
      </c>
      <c r="B1305" s="239" t="s">
        <v>1323</v>
      </c>
      <c r="C1305" s="286" t="s">
        <v>4330</v>
      </c>
      <c r="D1305" s="865" t="s">
        <v>4330</v>
      </c>
      <c r="E1305" s="287" t="s">
        <v>3562</v>
      </c>
      <c r="F1305" s="287" t="s">
        <v>3558</v>
      </c>
      <c r="G1305" s="288" t="s">
        <v>3553</v>
      </c>
    </row>
    <row r="1306" spans="1:7" x14ac:dyDescent="0.2">
      <c r="A1306" s="944">
        <v>39061002600</v>
      </c>
      <c r="B1306" s="239" t="s">
        <v>1324</v>
      </c>
      <c r="C1306" s="286" t="s">
        <v>4330</v>
      </c>
      <c r="D1306" s="865" t="s">
        <v>4330</v>
      </c>
      <c r="E1306" s="287" t="s">
        <v>3562</v>
      </c>
      <c r="F1306" s="287" t="s">
        <v>5177</v>
      </c>
      <c r="G1306" s="288" t="s">
        <v>3553</v>
      </c>
    </row>
    <row r="1307" spans="1:7" x14ac:dyDescent="0.2">
      <c r="A1307" s="944">
        <v>39061002700</v>
      </c>
      <c r="B1307" s="239" t="s">
        <v>1325</v>
      </c>
      <c r="C1307" s="286" t="s">
        <v>4330</v>
      </c>
      <c r="D1307" s="865" t="s">
        <v>4330</v>
      </c>
      <c r="E1307" s="287" t="s">
        <v>3562</v>
      </c>
      <c r="F1307" s="287" t="s">
        <v>3561</v>
      </c>
      <c r="G1307" s="288" t="s">
        <v>3553</v>
      </c>
    </row>
    <row r="1308" spans="1:7" x14ac:dyDescent="0.2">
      <c r="A1308" s="944">
        <v>39061002800</v>
      </c>
      <c r="B1308" s="239" t="s">
        <v>1326</v>
      </c>
      <c r="C1308" s="286" t="s">
        <v>2975</v>
      </c>
      <c r="D1308" s="865" t="s">
        <v>4330</v>
      </c>
      <c r="E1308" s="287" t="s">
        <v>3566</v>
      </c>
      <c r="F1308" s="287" t="s">
        <v>5177</v>
      </c>
      <c r="G1308" s="288" t="s">
        <v>3553</v>
      </c>
    </row>
    <row r="1309" spans="1:7" x14ac:dyDescent="0.2">
      <c r="A1309" s="944">
        <v>39061002900</v>
      </c>
      <c r="B1309" s="239" t="s">
        <v>1327</v>
      </c>
      <c r="C1309" s="286" t="s">
        <v>4330</v>
      </c>
      <c r="D1309" s="865" t="s">
        <v>4330</v>
      </c>
      <c r="E1309" s="287" t="s">
        <v>3563</v>
      </c>
      <c r="F1309" s="287" t="s">
        <v>5176</v>
      </c>
      <c r="G1309" s="288" t="s">
        <v>3553</v>
      </c>
    </row>
    <row r="1310" spans="1:7" x14ac:dyDescent="0.2">
      <c r="A1310" s="944">
        <v>39061003000</v>
      </c>
      <c r="B1310" s="239" t="s">
        <v>1328</v>
      </c>
      <c r="C1310" s="286" t="s">
        <v>4330</v>
      </c>
      <c r="D1310" s="865" t="s">
        <v>4330</v>
      </c>
      <c r="E1310" s="287" t="s">
        <v>3562</v>
      </c>
      <c r="F1310" s="287" t="s">
        <v>3565</v>
      </c>
      <c r="G1310" s="288" t="s">
        <v>3553</v>
      </c>
    </row>
    <row r="1311" spans="1:7" x14ac:dyDescent="0.2">
      <c r="A1311" s="944">
        <v>39061003200</v>
      </c>
      <c r="B1311" s="239" t="s">
        <v>1329</v>
      </c>
      <c r="C1311" s="286" t="s">
        <v>4330</v>
      </c>
      <c r="D1311" s="865" t="s">
        <v>4330</v>
      </c>
      <c r="E1311" s="287" t="s">
        <v>3562</v>
      </c>
      <c r="F1311" s="287" t="s">
        <v>3559</v>
      </c>
      <c r="G1311" s="288" t="s">
        <v>3553</v>
      </c>
    </row>
    <row r="1312" spans="1:7" x14ac:dyDescent="0.2">
      <c r="A1312" s="944">
        <v>39061003300</v>
      </c>
      <c r="B1312" s="239" t="s">
        <v>1330</v>
      </c>
      <c r="C1312" s="286" t="s">
        <v>4330</v>
      </c>
      <c r="D1312" s="865" t="s">
        <v>4330</v>
      </c>
      <c r="E1312" s="287" t="s">
        <v>3563</v>
      </c>
      <c r="F1312" s="287" t="s">
        <v>5177</v>
      </c>
      <c r="G1312" s="288" t="s">
        <v>3553</v>
      </c>
    </row>
    <row r="1313" spans="1:7" x14ac:dyDescent="0.2">
      <c r="A1313" s="944">
        <v>39061003600</v>
      </c>
      <c r="B1313" s="239" t="s">
        <v>1331</v>
      </c>
      <c r="C1313" s="286" t="s">
        <v>4330</v>
      </c>
      <c r="D1313" s="865" t="s">
        <v>4330</v>
      </c>
      <c r="E1313" s="287" t="s">
        <v>3566</v>
      </c>
      <c r="F1313" s="287" t="s">
        <v>3559</v>
      </c>
      <c r="G1313" s="288" t="s">
        <v>3553</v>
      </c>
    </row>
    <row r="1314" spans="1:7" x14ac:dyDescent="0.2">
      <c r="A1314" s="944">
        <v>39061003700</v>
      </c>
      <c r="B1314" s="239" t="s">
        <v>1332</v>
      </c>
      <c r="C1314" s="286" t="s">
        <v>4330</v>
      </c>
      <c r="D1314" s="865" t="s">
        <v>4330</v>
      </c>
      <c r="E1314" s="287" t="s">
        <v>3564</v>
      </c>
      <c r="F1314" s="287" t="s">
        <v>5177</v>
      </c>
      <c r="G1314" s="288" t="s">
        <v>3553</v>
      </c>
    </row>
    <row r="1315" spans="1:7" x14ac:dyDescent="0.2">
      <c r="A1315" s="944">
        <v>39061003800</v>
      </c>
      <c r="B1315" s="239" t="s">
        <v>1333</v>
      </c>
      <c r="C1315" s="286" t="s">
        <v>4330</v>
      </c>
      <c r="D1315" s="865" t="s">
        <v>4330</v>
      </c>
      <c r="E1315" s="287" t="s">
        <v>3566</v>
      </c>
      <c r="F1315" s="287" t="s">
        <v>5177</v>
      </c>
      <c r="G1315" s="288" t="s">
        <v>3553</v>
      </c>
    </row>
    <row r="1316" spans="1:7" x14ac:dyDescent="0.2">
      <c r="A1316" s="944">
        <v>39061003900</v>
      </c>
      <c r="B1316" s="239" t="s">
        <v>1334</v>
      </c>
      <c r="C1316" s="286" t="s">
        <v>4330</v>
      </c>
      <c r="D1316" s="865" t="s">
        <v>4330</v>
      </c>
      <c r="E1316" s="287" t="s">
        <v>3563</v>
      </c>
      <c r="F1316" s="287" t="s">
        <v>5177</v>
      </c>
      <c r="G1316" s="288" t="s">
        <v>3553</v>
      </c>
    </row>
    <row r="1317" spans="1:7" x14ac:dyDescent="0.2">
      <c r="A1317" s="944">
        <v>39061004000</v>
      </c>
      <c r="B1317" s="239" t="s">
        <v>1335</v>
      </c>
      <c r="C1317" s="286" t="s">
        <v>2975</v>
      </c>
      <c r="D1317" s="865" t="s">
        <v>2975</v>
      </c>
      <c r="E1317" s="287" t="s">
        <v>3563</v>
      </c>
      <c r="F1317" s="287" t="s">
        <v>5177</v>
      </c>
      <c r="G1317" s="288" t="s">
        <v>3553</v>
      </c>
    </row>
    <row r="1318" spans="1:7" x14ac:dyDescent="0.2">
      <c r="A1318" s="944">
        <v>39061004100</v>
      </c>
      <c r="B1318" s="239" t="s">
        <v>1336</v>
      </c>
      <c r="C1318" s="286" t="s">
        <v>2975</v>
      </c>
      <c r="D1318" s="865" t="s">
        <v>2975</v>
      </c>
      <c r="E1318" s="287" t="s">
        <v>3562</v>
      </c>
      <c r="F1318" s="287" t="s">
        <v>5177</v>
      </c>
      <c r="G1318" s="288" t="s">
        <v>3553</v>
      </c>
    </row>
    <row r="1319" spans="1:7" x14ac:dyDescent="0.2">
      <c r="A1319" s="944">
        <v>39061004200</v>
      </c>
      <c r="B1319" s="239" t="s">
        <v>1337</v>
      </c>
      <c r="C1319" s="286" t="s">
        <v>2975</v>
      </c>
      <c r="D1319" s="865" t="s">
        <v>2975</v>
      </c>
      <c r="E1319" s="287" t="s">
        <v>3562</v>
      </c>
      <c r="F1319" s="287" t="s">
        <v>5177</v>
      </c>
      <c r="G1319" s="288" t="s">
        <v>3553</v>
      </c>
    </row>
    <row r="1320" spans="1:7" x14ac:dyDescent="0.2">
      <c r="A1320" s="944">
        <v>39061004500</v>
      </c>
      <c r="B1320" s="239" t="s">
        <v>1338</v>
      </c>
      <c r="C1320" s="286" t="s">
        <v>2975</v>
      </c>
      <c r="D1320" s="865" t="s">
        <v>2975</v>
      </c>
      <c r="E1320" s="287" t="s">
        <v>3562</v>
      </c>
      <c r="F1320" s="287" t="s">
        <v>5176</v>
      </c>
      <c r="G1320" s="288" t="s">
        <v>3569</v>
      </c>
    </row>
    <row r="1321" spans="1:7" x14ac:dyDescent="0.2">
      <c r="A1321" s="944">
        <v>39061004602</v>
      </c>
      <c r="B1321" s="239" t="s">
        <v>1339</v>
      </c>
      <c r="C1321" s="286" t="s">
        <v>2975</v>
      </c>
      <c r="D1321" s="865" t="s">
        <v>2975</v>
      </c>
      <c r="E1321" s="287" t="s">
        <v>3562</v>
      </c>
      <c r="F1321" s="287" t="s">
        <v>3565</v>
      </c>
      <c r="G1321" s="288" t="s">
        <v>3553</v>
      </c>
    </row>
    <row r="1322" spans="1:7" x14ac:dyDescent="0.2">
      <c r="A1322" s="944">
        <v>39061004603</v>
      </c>
      <c r="B1322" s="239" t="s">
        <v>1340</v>
      </c>
      <c r="C1322" s="286" t="s">
        <v>2975</v>
      </c>
      <c r="D1322" s="865" t="s">
        <v>2975</v>
      </c>
      <c r="E1322" s="287" t="s">
        <v>3562</v>
      </c>
      <c r="F1322" s="287" t="s">
        <v>5176</v>
      </c>
      <c r="G1322" s="288" t="s">
        <v>3553</v>
      </c>
    </row>
    <row r="1323" spans="1:7" x14ac:dyDescent="0.2">
      <c r="A1323" s="944">
        <v>39061004604</v>
      </c>
      <c r="B1323" s="239" t="s">
        <v>1341</v>
      </c>
      <c r="C1323" s="286" t="s">
        <v>2975</v>
      </c>
      <c r="D1323" s="865" t="s">
        <v>2975</v>
      </c>
      <c r="E1323" s="287" t="s">
        <v>3564</v>
      </c>
      <c r="F1323" s="287" t="s">
        <v>3565</v>
      </c>
      <c r="G1323" s="288" t="s">
        <v>3569</v>
      </c>
    </row>
    <row r="1324" spans="1:7" x14ac:dyDescent="0.2">
      <c r="A1324" s="944">
        <v>39061004605</v>
      </c>
      <c r="B1324" s="239" t="s">
        <v>1342</v>
      </c>
      <c r="C1324" s="286" t="s">
        <v>2975</v>
      </c>
      <c r="D1324" s="865" t="s">
        <v>2975</v>
      </c>
      <c r="E1324" s="287" t="s">
        <v>3563</v>
      </c>
      <c r="F1324" s="287" t="s">
        <v>5177</v>
      </c>
      <c r="G1324" s="288" t="s">
        <v>3569</v>
      </c>
    </row>
    <row r="1325" spans="1:7" x14ac:dyDescent="0.2">
      <c r="A1325" s="944">
        <v>39061004701</v>
      </c>
      <c r="B1325" s="239" t="s">
        <v>1343</v>
      </c>
      <c r="C1325" s="286" t="s">
        <v>2975</v>
      </c>
      <c r="D1325" s="865" t="s">
        <v>2975</v>
      </c>
      <c r="E1325" s="287" t="s">
        <v>3562</v>
      </c>
      <c r="F1325" s="287" t="s">
        <v>3559</v>
      </c>
      <c r="G1325" s="288" t="s">
        <v>3553</v>
      </c>
    </row>
    <row r="1326" spans="1:7" x14ac:dyDescent="0.2">
      <c r="A1326" s="944">
        <v>39061004702</v>
      </c>
      <c r="B1326" s="239" t="s">
        <v>1344</v>
      </c>
      <c r="C1326" s="286" t="s">
        <v>4330</v>
      </c>
      <c r="D1326" s="865" t="s">
        <v>4330</v>
      </c>
      <c r="E1326" s="287" t="s">
        <v>3564</v>
      </c>
      <c r="F1326" s="287" t="s">
        <v>3558</v>
      </c>
      <c r="G1326" s="288" t="s">
        <v>3569</v>
      </c>
    </row>
    <row r="1327" spans="1:7" x14ac:dyDescent="0.2">
      <c r="A1327" s="944">
        <v>39061004800</v>
      </c>
      <c r="B1327" s="239" t="s">
        <v>1345</v>
      </c>
      <c r="C1327" s="286" t="s">
        <v>2975</v>
      </c>
      <c r="D1327" s="865" t="s">
        <v>2975</v>
      </c>
      <c r="E1327" s="287" t="s">
        <v>3562</v>
      </c>
      <c r="F1327" s="287" t="s">
        <v>5177</v>
      </c>
      <c r="G1327" s="288" t="s">
        <v>3553</v>
      </c>
    </row>
    <row r="1328" spans="1:7" x14ac:dyDescent="0.2">
      <c r="A1328" s="944">
        <v>39061004900</v>
      </c>
      <c r="B1328" s="239" t="s">
        <v>1346</v>
      </c>
      <c r="C1328" s="286" t="s">
        <v>2975</v>
      </c>
      <c r="D1328" s="865" t="s">
        <v>2975</v>
      </c>
      <c r="E1328" s="287" t="s">
        <v>3562</v>
      </c>
      <c r="F1328" s="287" t="s">
        <v>5177</v>
      </c>
      <c r="G1328" s="288" t="s">
        <v>3553</v>
      </c>
    </row>
    <row r="1329" spans="1:7" x14ac:dyDescent="0.2">
      <c r="A1329" s="944">
        <v>39061005000</v>
      </c>
      <c r="B1329" s="239" t="s">
        <v>1347</v>
      </c>
      <c r="C1329" s="286" t="s">
        <v>2975</v>
      </c>
      <c r="D1329" s="865" t="s">
        <v>2975</v>
      </c>
      <c r="E1329" s="287" t="s">
        <v>3562</v>
      </c>
      <c r="F1329" s="287" t="s">
        <v>5177</v>
      </c>
      <c r="G1329" s="288" t="s">
        <v>3553</v>
      </c>
    </row>
    <row r="1330" spans="1:7" x14ac:dyDescent="0.2">
      <c r="A1330" s="944">
        <v>39061005100</v>
      </c>
      <c r="B1330" s="239" t="s">
        <v>1348</v>
      </c>
      <c r="C1330" s="286" t="s">
        <v>2975</v>
      </c>
      <c r="D1330" s="865" t="s">
        <v>2975</v>
      </c>
      <c r="E1330" s="287" t="s">
        <v>3562</v>
      </c>
      <c r="F1330" s="287" t="s">
        <v>3558</v>
      </c>
      <c r="G1330" s="288" t="s">
        <v>3553</v>
      </c>
    </row>
    <row r="1331" spans="1:7" x14ac:dyDescent="0.2">
      <c r="A1331" s="944">
        <v>39061005200</v>
      </c>
      <c r="B1331" s="239" t="s">
        <v>1349</v>
      </c>
      <c r="C1331" s="286" t="s">
        <v>2975</v>
      </c>
      <c r="D1331" s="865" t="s">
        <v>2975</v>
      </c>
      <c r="E1331" s="287" t="s">
        <v>3562</v>
      </c>
      <c r="F1331" s="287" t="s">
        <v>3559</v>
      </c>
      <c r="G1331" s="288" t="s">
        <v>3553</v>
      </c>
    </row>
    <row r="1332" spans="1:7" x14ac:dyDescent="0.2">
      <c r="A1332" s="944">
        <v>39061005301</v>
      </c>
      <c r="B1332" s="239" t="s">
        <v>1350</v>
      </c>
      <c r="C1332" s="286" t="s">
        <v>2975</v>
      </c>
      <c r="D1332" s="865" t="s">
        <v>2975</v>
      </c>
      <c r="E1332" s="287" t="s">
        <v>3562</v>
      </c>
      <c r="F1332" s="287" t="s">
        <v>5177</v>
      </c>
      <c r="G1332" s="288" t="s">
        <v>3553</v>
      </c>
    </row>
    <row r="1333" spans="1:7" x14ac:dyDescent="0.2">
      <c r="A1333" s="944">
        <v>39061005302</v>
      </c>
      <c r="B1333" s="239" t="s">
        <v>1351</v>
      </c>
      <c r="C1333" s="286" t="s">
        <v>2975</v>
      </c>
      <c r="D1333" s="865" t="s">
        <v>2975</v>
      </c>
      <c r="E1333" s="287" t="s">
        <v>3562</v>
      </c>
      <c r="F1333" s="287" t="s">
        <v>5177</v>
      </c>
      <c r="G1333" s="288" t="s">
        <v>3553</v>
      </c>
    </row>
    <row r="1334" spans="1:7" x14ac:dyDescent="0.2">
      <c r="A1334" s="944">
        <v>39061005400</v>
      </c>
      <c r="B1334" s="239" t="s">
        <v>1352</v>
      </c>
      <c r="C1334" s="286" t="s">
        <v>2975</v>
      </c>
      <c r="D1334" s="865" t="s">
        <v>2975</v>
      </c>
      <c r="E1334" s="287" t="s">
        <v>3562</v>
      </c>
      <c r="F1334" s="287" t="s">
        <v>5177</v>
      </c>
      <c r="G1334" s="288" t="s">
        <v>3569</v>
      </c>
    </row>
    <row r="1335" spans="1:7" x14ac:dyDescent="0.2">
      <c r="A1335" s="944">
        <v>39061005500</v>
      </c>
      <c r="B1335" s="239" t="s">
        <v>1353</v>
      </c>
      <c r="C1335" s="286" t="s">
        <v>2975</v>
      </c>
      <c r="D1335" s="865" t="s">
        <v>4330</v>
      </c>
      <c r="E1335" s="287" t="s">
        <v>3562</v>
      </c>
      <c r="F1335" s="287" t="s">
        <v>5177</v>
      </c>
      <c r="G1335" s="288" t="s">
        <v>3553</v>
      </c>
    </row>
    <row r="1336" spans="1:7" x14ac:dyDescent="0.2">
      <c r="A1336" s="944">
        <v>39061005600</v>
      </c>
      <c r="B1336" s="239" t="s">
        <v>1354</v>
      </c>
      <c r="C1336" s="286" t="s">
        <v>2975</v>
      </c>
      <c r="D1336" s="865" t="s">
        <v>2975</v>
      </c>
      <c r="E1336" s="287" t="s">
        <v>3562</v>
      </c>
      <c r="F1336" s="287" t="s">
        <v>3559</v>
      </c>
      <c r="G1336" s="288" t="s">
        <v>3553</v>
      </c>
    </row>
    <row r="1337" spans="1:7" x14ac:dyDescent="0.2">
      <c r="A1337" s="944">
        <v>39061005701</v>
      </c>
      <c r="B1337" s="239" t="s">
        <v>1355</v>
      </c>
      <c r="C1337" s="286" t="s">
        <v>2975</v>
      </c>
      <c r="D1337" s="865" t="s">
        <v>2975</v>
      </c>
      <c r="E1337" s="287" t="s">
        <v>3562</v>
      </c>
      <c r="F1337" s="287" t="s">
        <v>3558</v>
      </c>
      <c r="G1337" s="288" t="s">
        <v>3553</v>
      </c>
    </row>
    <row r="1338" spans="1:7" x14ac:dyDescent="0.2">
      <c r="A1338" s="944">
        <v>39061005702</v>
      </c>
      <c r="B1338" s="239" t="s">
        <v>1356</v>
      </c>
      <c r="C1338" s="286" t="s">
        <v>2975</v>
      </c>
      <c r="D1338" s="865" t="s">
        <v>2975</v>
      </c>
      <c r="E1338" s="287" t="s">
        <v>3562</v>
      </c>
      <c r="F1338" s="287" t="s">
        <v>5177</v>
      </c>
      <c r="G1338" s="288" t="s">
        <v>3553</v>
      </c>
    </row>
    <row r="1339" spans="1:7" x14ac:dyDescent="0.2">
      <c r="A1339" s="944">
        <v>39061005800</v>
      </c>
      <c r="B1339" s="239" t="s">
        <v>1357</v>
      </c>
      <c r="C1339" s="286" t="s">
        <v>2975</v>
      </c>
      <c r="D1339" s="865" t="s">
        <v>4330</v>
      </c>
      <c r="E1339" s="287" t="s">
        <v>3563</v>
      </c>
      <c r="F1339" s="287" t="s">
        <v>3558</v>
      </c>
      <c r="G1339" s="288" t="s">
        <v>3553</v>
      </c>
    </row>
    <row r="1340" spans="1:7" x14ac:dyDescent="0.2">
      <c r="A1340" s="944">
        <v>39061005900</v>
      </c>
      <c r="B1340" s="239" t="s">
        <v>1358</v>
      </c>
      <c r="C1340" s="286" t="s">
        <v>2975</v>
      </c>
      <c r="D1340" s="865" t="s">
        <v>2975</v>
      </c>
      <c r="E1340" s="287" t="s">
        <v>3562</v>
      </c>
      <c r="F1340" s="287" t="s">
        <v>3558</v>
      </c>
      <c r="G1340" s="288" t="s">
        <v>3553</v>
      </c>
    </row>
    <row r="1341" spans="1:7" x14ac:dyDescent="0.2">
      <c r="A1341" s="944">
        <v>39061006000</v>
      </c>
      <c r="B1341" s="239" t="s">
        <v>1359</v>
      </c>
      <c r="C1341" s="286" t="s">
        <v>4330</v>
      </c>
      <c r="D1341" s="865" t="s">
        <v>4330</v>
      </c>
      <c r="E1341" s="287" t="s">
        <v>3563</v>
      </c>
      <c r="F1341" s="287" t="s">
        <v>5176</v>
      </c>
      <c r="G1341" s="288" t="s">
        <v>3553</v>
      </c>
    </row>
    <row r="1342" spans="1:7" x14ac:dyDescent="0.2">
      <c r="A1342" s="944">
        <v>39061006100</v>
      </c>
      <c r="B1342" s="239" t="s">
        <v>1360</v>
      </c>
      <c r="C1342" s="286" t="s">
        <v>4330</v>
      </c>
      <c r="D1342" s="865" t="s">
        <v>4330</v>
      </c>
      <c r="E1342" s="287" t="s">
        <v>3563</v>
      </c>
      <c r="F1342" s="287" t="s">
        <v>3559</v>
      </c>
      <c r="G1342" s="288" t="s">
        <v>3553</v>
      </c>
    </row>
    <row r="1343" spans="1:7" x14ac:dyDescent="0.2">
      <c r="A1343" s="944">
        <v>39061006300</v>
      </c>
      <c r="B1343" s="239" t="s">
        <v>1361</v>
      </c>
      <c r="C1343" s="286" t="s">
        <v>4330</v>
      </c>
      <c r="D1343" s="865" t="s">
        <v>4330</v>
      </c>
      <c r="E1343" s="287" t="s">
        <v>3566</v>
      </c>
      <c r="F1343" s="287" t="s">
        <v>3565</v>
      </c>
      <c r="G1343" s="288" t="s">
        <v>3553</v>
      </c>
    </row>
    <row r="1344" spans="1:7" x14ac:dyDescent="0.2">
      <c r="A1344" s="944">
        <v>39061006400</v>
      </c>
      <c r="B1344" s="239" t="s">
        <v>1362</v>
      </c>
      <c r="C1344" s="286" t="s">
        <v>4330</v>
      </c>
      <c r="D1344" s="865" t="s">
        <v>4330</v>
      </c>
      <c r="E1344" s="287" t="s">
        <v>3564</v>
      </c>
      <c r="F1344" s="287" t="s">
        <v>5177</v>
      </c>
      <c r="G1344" s="288" t="s">
        <v>3553</v>
      </c>
    </row>
    <row r="1345" spans="1:7" x14ac:dyDescent="0.2">
      <c r="A1345" s="944">
        <v>39061006500</v>
      </c>
      <c r="B1345" s="239" t="s">
        <v>1363</v>
      </c>
      <c r="C1345" s="286" t="s">
        <v>2975</v>
      </c>
      <c r="D1345" s="865" t="s">
        <v>2975</v>
      </c>
      <c r="E1345" s="287" t="s">
        <v>3562</v>
      </c>
      <c r="F1345" s="287" t="s">
        <v>5176</v>
      </c>
      <c r="G1345" s="288" t="s">
        <v>3553</v>
      </c>
    </row>
    <row r="1346" spans="1:7" x14ac:dyDescent="0.2">
      <c r="A1346" s="944">
        <v>39061006600</v>
      </c>
      <c r="B1346" s="239" t="s">
        <v>1364</v>
      </c>
      <c r="C1346" s="286" t="s">
        <v>4330</v>
      </c>
      <c r="D1346" s="865" t="s">
        <v>4330</v>
      </c>
      <c r="E1346" s="287" t="s">
        <v>3564</v>
      </c>
      <c r="F1346" s="287" t="s">
        <v>5176</v>
      </c>
      <c r="G1346" s="288" t="s">
        <v>3553</v>
      </c>
    </row>
    <row r="1347" spans="1:7" x14ac:dyDescent="0.2">
      <c r="A1347" s="944">
        <v>39061006800</v>
      </c>
      <c r="B1347" s="239" t="s">
        <v>1365</v>
      </c>
      <c r="C1347" s="286" t="s">
        <v>4330</v>
      </c>
      <c r="D1347" s="865" t="s">
        <v>4330</v>
      </c>
      <c r="E1347" s="287" t="s">
        <v>3564</v>
      </c>
      <c r="F1347" s="287" t="s">
        <v>5176</v>
      </c>
      <c r="G1347" s="288" t="s">
        <v>3553</v>
      </c>
    </row>
    <row r="1348" spans="1:7" x14ac:dyDescent="0.2">
      <c r="A1348" s="944">
        <v>39061006900</v>
      </c>
      <c r="B1348" s="239" t="s">
        <v>1366</v>
      </c>
      <c r="C1348" s="286" t="s">
        <v>4330</v>
      </c>
      <c r="D1348" s="865" t="s">
        <v>4330</v>
      </c>
      <c r="E1348" s="287" t="s">
        <v>3566</v>
      </c>
      <c r="F1348" s="287" t="s">
        <v>5177</v>
      </c>
      <c r="G1348" s="288" t="s">
        <v>3553</v>
      </c>
    </row>
    <row r="1349" spans="1:7" x14ac:dyDescent="0.2">
      <c r="A1349" s="944">
        <v>39061007000</v>
      </c>
      <c r="B1349" s="239" t="s">
        <v>1367</v>
      </c>
      <c r="C1349" s="286" t="s">
        <v>2975</v>
      </c>
      <c r="D1349" s="865" t="s">
        <v>4330</v>
      </c>
      <c r="E1349" s="287" t="s">
        <v>3562</v>
      </c>
      <c r="F1349" s="287" t="s">
        <v>5177</v>
      </c>
      <c r="G1349" s="288" t="s">
        <v>3553</v>
      </c>
    </row>
    <row r="1350" spans="1:7" x14ac:dyDescent="0.2">
      <c r="A1350" s="944">
        <v>39061007100</v>
      </c>
      <c r="B1350" s="239" t="s">
        <v>1368</v>
      </c>
      <c r="C1350" s="286" t="s">
        <v>2975</v>
      </c>
      <c r="D1350" s="865" t="s">
        <v>2975</v>
      </c>
      <c r="E1350" s="287" t="s">
        <v>3562</v>
      </c>
      <c r="F1350" s="287" t="s">
        <v>3565</v>
      </c>
      <c r="G1350" s="288" t="s">
        <v>3553</v>
      </c>
    </row>
    <row r="1351" spans="1:7" x14ac:dyDescent="0.2">
      <c r="A1351" s="944">
        <v>39061007200</v>
      </c>
      <c r="B1351" s="239" t="s">
        <v>1369</v>
      </c>
      <c r="C1351" s="286" t="s">
        <v>2975</v>
      </c>
      <c r="D1351" s="865" t="s">
        <v>2975</v>
      </c>
      <c r="E1351" s="287" t="s">
        <v>3562</v>
      </c>
      <c r="F1351" s="287" t="s">
        <v>3565</v>
      </c>
      <c r="G1351" s="288" t="s">
        <v>3553</v>
      </c>
    </row>
    <row r="1352" spans="1:7" x14ac:dyDescent="0.2">
      <c r="A1352" s="944">
        <v>39061007300</v>
      </c>
      <c r="B1352" s="239" t="s">
        <v>1370</v>
      </c>
      <c r="C1352" s="286" t="s">
        <v>2975</v>
      </c>
      <c r="D1352" s="865" t="s">
        <v>2975</v>
      </c>
      <c r="E1352" s="287" t="s">
        <v>3566</v>
      </c>
      <c r="F1352" s="287" t="s">
        <v>3558</v>
      </c>
      <c r="G1352" s="288" t="s">
        <v>3553</v>
      </c>
    </row>
    <row r="1353" spans="1:7" x14ac:dyDescent="0.2">
      <c r="A1353" s="944">
        <v>39061007400</v>
      </c>
      <c r="B1353" s="239" t="s">
        <v>1371</v>
      </c>
      <c r="C1353" s="286" t="s">
        <v>2975</v>
      </c>
      <c r="D1353" s="865" t="s">
        <v>2975</v>
      </c>
      <c r="E1353" s="287" t="s">
        <v>3562</v>
      </c>
      <c r="F1353" s="287" t="s">
        <v>3561</v>
      </c>
      <c r="G1353" s="288" t="s">
        <v>3553</v>
      </c>
    </row>
    <row r="1354" spans="1:7" x14ac:dyDescent="0.2">
      <c r="A1354" s="944">
        <v>39061007500</v>
      </c>
      <c r="B1354" s="239" t="s">
        <v>1372</v>
      </c>
      <c r="C1354" s="286" t="s">
        <v>2975</v>
      </c>
      <c r="D1354" s="865" t="s">
        <v>4330</v>
      </c>
      <c r="E1354" s="287" t="s">
        <v>3562</v>
      </c>
      <c r="F1354" s="287" t="s">
        <v>5177</v>
      </c>
      <c r="G1354" s="288" t="s">
        <v>3553</v>
      </c>
    </row>
    <row r="1355" spans="1:7" x14ac:dyDescent="0.2">
      <c r="A1355" s="944">
        <v>39061007700</v>
      </c>
      <c r="B1355" s="239" t="s">
        <v>1373</v>
      </c>
      <c r="C1355" s="286" t="s">
        <v>4330</v>
      </c>
      <c r="D1355" s="865" t="s">
        <v>4330</v>
      </c>
      <c r="E1355" s="287" t="s">
        <v>3557</v>
      </c>
      <c r="F1355" s="287" t="s">
        <v>5176</v>
      </c>
      <c r="G1355" s="288" t="s">
        <v>3553</v>
      </c>
    </row>
    <row r="1356" spans="1:7" x14ac:dyDescent="0.2">
      <c r="A1356" s="944">
        <v>39061007800</v>
      </c>
      <c r="B1356" s="239" t="s">
        <v>1374</v>
      </c>
      <c r="C1356" s="286" t="s">
        <v>2975</v>
      </c>
      <c r="D1356" s="865" t="s">
        <v>2975</v>
      </c>
      <c r="E1356" s="287" t="s">
        <v>3563</v>
      </c>
      <c r="F1356" s="287" t="s">
        <v>3559</v>
      </c>
      <c r="G1356" s="288" t="s">
        <v>3553</v>
      </c>
    </row>
    <row r="1357" spans="1:7" x14ac:dyDescent="0.2">
      <c r="A1357" s="944">
        <v>39061007900</v>
      </c>
      <c r="B1357" s="239" t="s">
        <v>1375</v>
      </c>
      <c r="C1357" s="286" t="s">
        <v>4330</v>
      </c>
      <c r="D1357" s="865" t="s">
        <v>4330</v>
      </c>
      <c r="E1357" s="287" t="s">
        <v>3563</v>
      </c>
      <c r="F1357" s="287" t="s">
        <v>5177</v>
      </c>
      <c r="G1357" s="288" t="s">
        <v>3553</v>
      </c>
    </row>
    <row r="1358" spans="1:7" x14ac:dyDescent="0.2">
      <c r="A1358" s="944">
        <v>39061008000</v>
      </c>
      <c r="B1358" s="239" t="s">
        <v>1376</v>
      </c>
      <c r="C1358" s="286" t="s">
        <v>4330</v>
      </c>
      <c r="D1358" s="865" t="s">
        <v>4330</v>
      </c>
      <c r="E1358" s="287" t="s">
        <v>3557</v>
      </c>
      <c r="F1358" s="287" t="s">
        <v>5177</v>
      </c>
      <c r="G1358" s="288" t="s">
        <v>3569</v>
      </c>
    </row>
    <row r="1359" spans="1:7" x14ac:dyDescent="0.2">
      <c r="A1359" s="944">
        <v>39061008100</v>
      </c>
      <c r="B1359" s="239" t="s">
        <v>1377</v>
      </c>
      <c r="C1359" s="286" t="s">
        <v>4330</v>
      </c>
      <c r="D1359" s="865" t="s">
        <v>4330</v>
      </c>
      <c r="E1359" s="287" t="s">
        <v>3566</v>
      </c>
      <c r="F1359" s="287" t="s">
        <v>5176</v>
      </c>
      <c r="G1359" s="288" t="s">
        <v>3553</v>
      </c>
    </row>
    <row r="1360" spans="1:7" x14ac:dyDescent="0.2">
      <c r="A1360" s="944">
        <v>39061008201</v>
      </c>
      <c r="B1360" s="239" t="s">
        <v>1378</v>
      </c>
      <c r="C1360" s="286" t="s">
        <v>2975</v>
      </c>
      <c r="D1360" s="865" t="s">
        <v>2975</v>
      </c>
      <c r="E1360" s="287" t="s">
        <v>3563</v>
      </c>
      <c r="F1360" s="287" t="s">
        <v>3558</v>
      </c>
      <c r="G1360" s="288" t="s">
        <v>3553</v>
      </c>
    </row>
    <row r="1361" spans="1:7" x14ac:dyDescent="0.2">
      <c r="A1361" s="944">
        <v>39061008202</v>
      </c>
      <c r="B1361" s="239" t="s">
        <v>1379</v>
      </c>
      <c r="C1361" s="286" t="s">
        <v>2975</v>
      </c>
      <c r="D1361" s="865" t="s">
        <v>2975</v>
      </c>
      <c r="E1361" s="287" t="s">
        <v>3563</v>
      </c>
      <c r="F1361" s="287" t="s">
        <v>5177</v>
      </c>
      <c r="G1361" s="288" t="s">
        <v>3553</v>
      </c>
    </row>
    <row r="1362" spans="1:7" x14ac:dyDescent="0.2">
      <c r="A1362" s="944">
        <v>39061008300</v>
      </c>
      <c r="B1362" s="239" t="s">
        <v>1380</v>
      </c>
      <c r="C1362" s="286" t="s">
        <v>4330</v>
      </c>
      <c r="D1362" s="865" t="s">
        <v>4330</v>
      </c>
      <c r="E1362" s="287" t="s">
        <v>3566</v>
      </c>
      <c r="F1362" s="287" t="s">
        <v>5176</v>
      </c>
      <c r="G1362" s="288" t="s">
        <v>3553</v>
      </c>
    </row>
    <row r="1363" spans="1:7" x14ac:dyDescent="0.2">
      <c r="A1363" s="944">
        <v>39061008400</v>
      </c>
      <c r="B1363" s="239" t="s">
        <v>1381</v>
      </c>
      <c r="C1363" s="286" t="s">
        <v>4330</v>
      </c>
      <c r="D1363" s="865" t="s">
        <v>4330</v>
      </c>
      <c r="E1363" s="287" t="s">
        <v>3563</v>
      </c>
      <c r="F1363" s="287" t="s">
        <v>3559</v>
      </c>
      <c r="G1363" s="288" t="s">
        <v>3553</v>
      </c>
    </row>
    <row r="1364" spans="1:7" x14ac:dyDescent="0.2">
      <c r="A1364" s="944">
        <v>39061008501</v>
      </c>
      <c r="B1364" s="239" t="s">
        <v>1382</v>
      </c>
      <c r="C1364" s="286" t="s">
        <v>4330</v>
      </c>
      <c r="D1364" s="865" t="s">
        <v>4330</v>
      </c>
      <c r="E1364" s="287" t="s">
        <v>3557</v>
      </c>
      <c r="F1364" s="287" t="s">
        <v>3559</v>
      </c>
      <c r="G1364" s="288" t="s">
        <v>3569</v>
      </c>
    </row>
    <row r="1365" spans="1:7" x14ac:dyDescent="0.2">
      <c r="A1365" s="944">
        <v>39061008502</v>
      </c>
      <c r="B1365" s="239" t="s">
        <v>1383</v>
      </c>
      <c r="C1365" s="286" t="s">
        <v>4330</v>
      </c>
      <c r="D1365" s="865" t="s">
        <v>4330</v>
      </c>
      <c r="E1365" s="287" t="s">
        <v>3557</v>
      </c>
      <c r="F1365" s="287" t="s">
        <v>3559</v>
      </c>
      <c r="G1365" s="288" t="s">
        <v>3553</v>
      </c>
    </row>
    <row r="1366" spans="1:7" x14ac:dyDescent="0.2">
      <c r="A1366" s="944">
        <v>39061008601</v>
      </c>
      <c r="B1366" s="239" t="s">
        <v>1384</v>
      </c>
      <c r="C1366" s="286" t="s">
        <v>4330</v>
      </c>
      <c r="D1366" s="865" t="s">
        <v>4330</v>
      </c>
      <c r="E1366" s="287" t="s">
        <v>3557</v>
      </c>
      <c r="F1366" s="287" t="s">
        <v>5177</v>
      </c>
      <c r="G1366" s="288" t="s">
        <v>3553</v>
      </c>
    </row>
    <row r="1367" spans="1:7" x14ac:dyDescent="0.2">
      <c r="A1367" s="944">
        <v>39061008800</v>
      </c>
      <c r="B1367" s="239" t="s">
        <v>1385</v>
      </c>
      <c r="C1367" s="286" t="s">
        <v>4330</v>
      </c>
      <c r="D1367" s="865" t="s">
        <v>4330</v>
      </c>
      <c r="E1367" s="287" t="s">
        <v>3557</v>
      </c>
      <c r="F1367" s="287" t="s">
        <v>3565</v>
      </c>
      <c r="G1367" s="288" t="s">
        <v>3553</v>
      </c>
    </row>
    <row r="1368" spans="1:7" x14ac:dyDescent="0.2">
      <c r="A1368" s="944">
        <v>39061009200</v>
      </c>
      <c r="B1368" s="239" t="s">
        <v>1386</v>
      </c>
      <c r="C1368" s="286" t="s">
        <v>4330</v>
      </c>
      <c r="D1368" s="865" t="s">
        <v>4330</v>
      </c>
      <c r="E1368" s="287" t="s">
        <v>3564</v>
      </c>
      <c r="F1368" s="287" t="s">
        <v>3559</v>
      </c>
      <c r="G1368" s="288" t="s">
        <v>3553</v>
      </c>
    </row>
    <row r="1369" spans="1:7" x14ac:dyDescent="0.2">
      <c r="A1369" s="944">
        <v>39061009300</v>
      </c>
      <c r="B1369" s="239" t="s">
        <v>1387</v>
      </c>
      <c r="C1369" s="286" t="s">
        <v>4330</v>
      </c>
      <c r="D1369" s="865" t="s">
        <v>4330</v>
      </c>
      <c r="E1369" s="287" t="s">
        <v>3564</v>
      </c>
      <c r="F1369" s="287" t="s">
        <v>5176</v>
      </c>
      <c r="G1369" s="288" t="s">
        <v>3553</v>
      </c>
    </row>
    <row r="1370" spans="1:7" x14ac:dyDescent="0.2">
      <c r="A1370" s="944">
        <v>39061009400</v>
      </c>
      <c r="B1370" s="239" t="s">
        <v>1388</v>
      </c>
      <c r="C1370" s="286" t="s">
        <v>4330</v>
      </c>
      <c r="D1370" s="865" t="s">
        <v>4330</v>
      </c>
      <c r="E1370" s="287" t="s">
        <v>3557</v>
      </c>
      <c r="F1370" s="287" t="s">
        <v>3559</v>
      </c>
      <c r="G1370" s="288" t="s">
        <v>3553</v>
      </c>
    </row>
    <row r="1371" spans="1:7" x14ac:dyDescent="0.2">
      <c r="A1371" s="944">
        <v>39061009500</v>
      </c>
      <c r="B1371" s="239" t="s">
        <v>1389</v>
      </c>
      <c r="C1371" s="286" t="s">
        <v>4330</v>
      </c>
      <c r="D1371" s="865" t="s">
        <v>4330</v>
      </c>
      <c r="E1371" s="287" t="s">
        <v>3564</v>
      </c>
      <c r="F1371" s="287" t="s">
        <v>5177</v>
      </c>
      <c r="G1371" s="288" t="s">
        <v>3553</v>
      </c>
    </row>
    <row r="1372" spans="1:7" x14ac:dyDescent="0.2">
      <c r="A1372" s="944">
        <v>39061009600</v>
      </c>
      <c r="B1372" s="239" t="s">
        <v>1390</v>
      </c>
      <c r="C1372" s="286" t="s">
        <v>4330</v>
      </c>
      <c r="D1372" s="865" t="s">
        <v>4330</v>
      </c>
      <c r="E1372" s="287" t="s">
        <v>3566</v>
      </c>
      <c r="F1372" s="287" t="s">
        <v>5176</v>
      </c>
      <c r="G1372" s="288" t="s">
        <v>3553</v>
      </c>
    </row>
    <row r="1373" spans="1:7" x14ac:dyDescent="0.2">
      <c r="A1373" s="944">
        <v>39061009700</v>
      </c>
      <c r="B1373" s="239" t="s">
        <v>1391</v>
      </c>
      <c r="C1373" s="286" t="s">
        <v>4330</v>
      </c>
      <c r="D1373" s="865" t="s">
        <v>4330</v>
      </c>
      <c r="E1373" s="287" t="s">
        <v>3566</v>
      </c>
      <c r="F1373" s="287" t="s">
        <v>5177</v>
      </c>
      <c r="G1373" s="288" t="s">
        <v>3553</v>
      </c>
    </row>
    <row r="1374" spans="1:7" x14ac:dyDescent="0.2">
      <c r="A1374" s="944">
        <v>39061009800</v>
      </c>
      <c r="B1374" s="239" t="s">
        <v>1392</v>
      </c>
      <c r="C1374" s="286" t="s">
        <v>4330</v>
      </c>
      <c r="D1374" s="865" t="s">
        <v>4330</v>
      </c>
      <c r="E1374" s="287" t="s">
        <v>3564</v>
      </c>
      <c r="F1374" s="287" t="s">
        <v>3558</v>
      </c>
      <c r="G1374" s="288" t="s">
        <v>3553</v>
      </c>
    </row>
    <row r="1375" spans="1:7" x14ac:dyDescent="0.2">
      <c r="A1375" s="944">
        <v>39061009901</v>
      </c>
      <c r="B1375" s="239" t="s">
        <v>1393</v>
      </c>
      <c r="C1375" s="286" t="s">
        <v>2975</v>
      </c>
      <c r="D1375" s="865" t="s">
        <v>2975</v>
      </c>
      <c r="E1375" s="287" t="s">
        <v>3563</v>
      </c>
      <c r="F1375" s="287" t="s">
        <v>3558</v>
      </c>
      <c r="G1375" s="288" t="s">
        <v>3553</v>
      </c>
    </row>
    <row r="1376" spans="1:7" x14ac:dyDescent="0.2">
      <c r="A1376" s="944">
        <v>39061009902</v>
      </c>
      <c r="B1376" s="239" t="s">
        <v>1394</v>
      </c>
      <c r="C1376" s="286" t="s">
        <v>4330</v>
      </c>
      <c r="D1376" s="865" t="s">
        <v>4330</v>
      </c>
      <c r="E1376" s="287" t="s">
        <v>3566</v>
      </c>
      <c r="F1376" s="287" t="s">
        <v>3565</v>
      </c>
      <c r="G1376" s="288" t="s">
        <v>3553</v>
      </c>
    </row>
    <row r="1377" spans="1:7" x14ac:dyDescent="0.2">
      <c r="A1377" s="944">
        <v>39061010002</v>
      </c>
      <c r="B1377" s="239" t="s">
        <v>1395</v>
      </c>
      <c r="C1377" s="286" t="s">
        <v>4330</v>
      </c>
      <c r="D1377" s="865" t="s">
        <v>4330</v>
      </c>
      <c r="E1377" s="287" t="s">
        <v>3557</v>
      </c>
      <c r="F1377" s="287" t="s">
        <v>3558</v>
      </c>
      <c r="G1377" s="288" t="s">
        <v>3553</v>
      </c>
    </row>
    <row r="1378" spans="1:7" x14ac:dyDescent="0.2">
      <c r="A1378" s="944">
        <v>39061010003</v>
      </c>
      <c r="B1378" s="239" t="s">
        <v>1396</v>
      </c>
      <c r="C1378" s="286" t="s">
        <v>4330</v>
      </c>
      <c r="D1378" s="865" t="s">
        <v>4330</v>
      </c>
      <c r="E1378" s="287" t="s">
        <v>3566</v>
      </c>
      <c r="F1378" s="287" t="s">
        <v>3565</v>
      </c>
      <c r="G1378" s="288" t="s">
        <v>3553</v>
      </c>
    </row>
    <row r="1379" spans="1:7" x14ac:dyDescent="0.2">
      <c r="A1379" s="944">
        <v>39061010004</v>
      </c>
      <c r="B1379" s="239" t="s">
        <v>1397</v>
      </c>
      <c r="C1379" s="286" t="s">
        <v>4330</v>
      </c>
      <c r="D1379" s="865" t="s">
        <v>4330</v>
      </c>
      <c r="E1379" s="287" t="s">
        <v>3566</v>
      </c>
      <c r="F1379" s="287" t="s">
        <v>3565</v>
      </c>
      <c r="G1379" s="288" t="s">
        <v>3553</v>
      </c>
    </row>
    <row r="1380" spans="1:7" x14ac:dyDescent="0.2">
      <c r="A1380" s="944">
        <v>39061010005</v>
      </c>
      <c r="B1380" s="239" t="s">
        <v>1398</v>
      </c>
      <c r="C1380" s="286" t="s">
        <v>2975</v>
      </c>
      <c r="D1380" s="865" t="s">
        <v>4330</v>
      </c>
      <c r="E1380" s="287" t="s">
        <v>3566</v>
      </c>
      <c r="F1380" s="287" t="s">
        <v>3559</v>
      </c>
      <c r="G1380" s="288" t="s">
        <v>3553</v>
      </c>
    </row>
    <row r="1381" spans="1:7" x14ac:dyDescent="0.2">
      <c r="A1381" s="944">
        <v>39061010100</v>
      </c>
      <c r="B1381" s="239" t="s">
        <v>1399</v>
      </c>
      <c r="C1381" s="286" t="s">
        <v>2975</v>
      </c>
      <c r="D1381" s="865" t="s">
        <v>4330</v>
      </c>
      <c r="E1381" s="287" t="s">
        <v>3563</v>
      </c>
      <c r="F1381" s="287" t="s">
        <v>3559</v>
      </c>
      <c r="G1381" s="288" t="s">
        <v>3553</v>
      </c>
    </row>
    <row r="1382" spans="1:7" x14ac:dyDescent="0.2">
      <c r="A1382" s="944">
        <v>39061010201</v>
      </c>
      <c r="B1382" s="239" t="s">
        <v>1400</v>
      </c>
      <c r="C1382" s="286" t="s">
        <v>4330</v>
      </c>
      <c r="D1382" s="865" t="s">
        <v>4330</v>
      </c>
      <c r="E1382" s="287" t="s">
        <v>3563</v>
      </c>
      <c r="F1382" s="287" t="s">
        <v>3559</v>
      </c>
      <c r="G1382" s="288" t="s">
        <v>3553</v>
      </c>
    </row>
    <row r="1383" spans="1:7" x14ac:dyDescent="0.2">
      <c r="A1383" s="944">
        <v>39061010202</v>
      </c>
      <c r="B1383" s="239" t="s">
        <v>1401</v>
      </c>
      <c r="C1383" s="286" t="s">
        <v>2975</v>
      </c>
      <c r="D1383" s="865" t="s">
        <v>2975</v>
      </c>
      <c r="E1383" s="287" t="s">
        <v>3563</v>
      </c>
      <c r="F1383" s="287" t="s">
        <v>3565</v>
      </c>
      <c r="G1383" s="288" t="s">
        <v>3553</v>
      </c>
    </row>
    <row r="1384" spans="1:7" x14ac:dyDescent="0.2">
      <c r="A1384" s="944">
        <v>39061010300</v>
      </c>
      <c r="B1384" s="239" t="s">
        <v>1402</v>
      </c>
      <c r="C1384" s="286" t="s">
        <v>4330</v>
      </c>
      <c r="D1384" s="865" t="s">
        <v>4330</v>
      </c>
      <c r="E1384" s="287" t="s">
        <v>3557</v>
      </c>
      <c r="F1384" s="287" t="s">
        <v>3559</v>
      </c>
      <c r="G1384" s="288" t="s">
        <v>3569</v>
      </c>
    </row>
    <row r="1385" spans="1:7" x14ac:dyDescent="0.2">
      <c r="A1385" s="944">
        <v>39061010400</v>
      </c>
      <c r="B1385" s="239" t="s">
        <v>1403</v>
      </c>
      <c r="C1385" s="286" t="s">
        <v>4330</v>
      </c>
      <c r="D1385" s="865" t="s">
        <v>4330</v>
      </c>
      <c r="E1385" s="287" t="s">
        <v>3557</v>
      </c>
      <c r="F1385" s="287" t="s">
        <v>3565</v>
      </c>
      <c r="G1385" s="288" t="s">
        <v>3569</v>
      </c>
    </row>
    <row r="1386" spans="1:7" x14ac:dyDescent="0.2">
      <c r="A1386" s="944">
        <v>39061010500</v>
      </c>
      <c r="B1386" s="239" t="s">
        <v>1404</v>
      </c>
      <c r="C1386" s="286" t="s">
        <v>2975</v>
      </c>
      <c r="D1386" s="865" t="s">
        <v>4330</v>
      </c>
      <c r="E1386" s="287" t="s">
        <v>3563</v>
      </c>
      <c r="F1386" s="287" t="s">
        <v>5177</v>
      </c>
      <c r="G1386" s="288" t="s">
        <v>3553</v>
      </c>
    </row>
    <row r="1387" spans="1:7" x14ac:dyDescent="0.2">
      <c r="A1387" s="944">
        <v>39061010600</v>
      </c>
      <c r="B1387" s="239" t="s">
        <v>1405</v>
      </c>
      <c r="C1387" s="286" t="s">
        <v>2975</v>
      </c>
      <c r="D1387" s="865" t="s">
        <v>2975</v>
      </c>
      <c r="E1387" s="287" t="s">
        <v>3563</v>
      </c>
      <c r="F1387" s="287" t="s">
        <v>5176</v>
      </c>
      <c r="G1387" s="288" t="s">
        <v>3553</v>
      </c>
    </row>
    <row r="1388" spans="1:7" x14ac:dyDescent="0.2">
      <c r="A1388" s="944">
        <v>39061010700</v>
      </c>
      <c r="B1388" s="239" t="s">
        <v>1406</v>
      </c>
      <c r="C1388" s="286" t="s">
        <v>2975</v>
      </c>
      <c r="D1388" s="865" t="s">
        <v>2975</v>
      </c>
      <c r="E1388" s="287" t="s">
        <v>3564</v>
      </c>
      <c r="F1388" s="287" t="s">
        <v>3558</v>
      </c>
      <c r="G1388" s="288" t="s">
        <v>3569</v>
      </c>
    </row>
    <row r="1389" spans="1:7" x14ac:dyDescent="0.2">
      <c r="A1389" s="944">
        <v>39061010800</v>
      </c>
      <c r="B1389" s="239" t="s">
        <v>1407</v>
      </c>
      <c r="C1389" s="286" t="s">
        <v>2975</v>
      </c>
      <c r="D1389" s="865" t="s">
        <v>2975</v>
      </c>
      <c r="E1389" s="287" t="s">
        <v>3563</v>
      </c>
      <c r="F1389" s="287" t="s">
        <v>3558</v>
      </c>
      <c r="G1389" s="288" t="s">
        <v>3569</v>
      </c>
    </row>
    <row r="1390" spans="1:7" x14ac:dyDescent="0.2">
      <c r="A1390" s="944">
        <v>39061010900</v>
      </c>
      <c r="B1390" s="239" t="s">
        <v>1408</v>
      </c>
      <c r="C1390" s="286" t="s">
        <v>4330</v>
      </c>
      <c r="D1390" s="865" t="s">
        <v>4330</v>
      </c>
      <c r="E1390" s="287" t="s">
        <v>3566</v>
      </c>
      <c r="F1390" s="287" t="s">
        <v>3565</v>
      </c>
      <c r="G1390" s="288" t="s">
        <v>3553</v>
      </c>
    </row>
    <row r="1391" spans="1:7" x14ac:dyDescent="0.2">
      <c r="A1391" s="944">
        <v>39061011000</v>
      </c>
      <c r="B1391" s="239" t="s">
        <v>1409</v>
      </c>
      <c r="C1391" s="286" t="s">
        <v>4330</v>
      </c>
      <c r="D1391" s="865" t="s">
        <v>4330</v>
      </c>
      <c r="E1391" s="287" t="s">
        <v>3564</v>
      </c>
      <c r="F1391" s="287" t="s">
        <v>5177</v>
      </c>
      <c r="G1391" s="288" t="s">
        <v>3553</v>
      </c>
    </row>
    <row r="1392" spans="1:7" x14ac:dyDescent="0.2">
      <c r="A1392" s="944">
        <v>39061011100</v>
      </c>
      <c r="B1392" s="239" t="s">
        <v>1410</v>
      </c>
      <c r="C1392" s="286" t="s">
        <v>2975</v>
      </c>
      <c r="D1392" s="865" t="s">
        <v>2975</v>
      </c>
      <c r="E1392" s="287" t="s">
        <v>3564</v>
      </c>
      <c r="F1392" s="287" t="s">
        <v>5177</v>
      </c>
      <c r="G1392" s="288" t="s">
        <v>3569</v>
      </c>
    </row>
    <row r="1393" spans="1:7" x14ac:dyDescent="0.2">
      <c r="A1393" s="944">
        <v>39061020401</v>
      </c>
      <c r="B1393" s="239" t="s">
        <v>1411</v>
      </c>
      <c r="C1393" s="286" t="s">
        <v>2975</v>
      </c>
      <c r="D1393" s="865" t="s">
        <v>2975</v>
      </c>
      <c r="E1393" s="287" t="s">
        <v>3564</v>
      </c>
      <c r="F1393" s="287" t="s">
        <v>5177</v>
      </c>
      <c r="G1393" s="288" t="s">
        <v>3569</v>
      </c>
    </row>
    <row r="1394" spans="1:7" x14ac:dyDescent="0.2">
      <c r="A1394" s="944">
        <v>39061020403</v>
      </c>
      <c r="B1394" s="239" t="s">
        <v>1412</v>
      </c>
      <c r="C1394" s="286" t="s">
        <v>2975</v>
      </c>
      <c r="D1394" s="865" t="s">
        <v>2975</v>
      </c>
      <c r="E1394" s="287" t="s">
        <v>3566</v>
      </c>
      <c r="F1394" s="287" t="s">
        <v>3559</v>
      </c>
      <c r="G1394" s="288" t="s">
        <v>3569</v>
      </c>
    </row>
    <row r="1395" spans="1:7" x14ac:dyDescent="0.2">
      <c r="A1395" s="944">
        <v>39061020404</v>
      </c>
      <c r="B1395" s="239" t="s">
        <v>1413</v>
      </c>
      <c r="C1395" s="286" t="s">
        <v>2975</v>
      </c>
      <c r="D1395" s="865" t="s">
        <v>2975</v>
      </c>
      <c r="E1395" s="287" t="s">
        <v>3566</v>
      </c>
      <c r="F1395" s="287" t="s">
        <v>3559</v>
      </c>
      <c r="G1395" s="288" t="s">
        <v>3569</v>
      </c>
    </row>
    <row r="1396" spans="1:7" x14ac:dyDescent="0.2">
      <c r="A1396" s="944">
        <v>39061020501</v>
      </c>
      <c r="B1396" s="239" t="s">
        <v>1414</v>
      </c>
      <c r="C1396" s="286" t="s">
        <v>2975</v>
      </c>
      <c r="D1396" s="865" t="s">
        <v>2975</v>
      </c>
      <c r="E1396" s="287" t="s">
        <v>3563</v>
      </c>
      <c r="F1396" s="287" t="s">
        <v>5177</v>
      </c>
      <c r="G1396" s="288" t="s">
        <v>3568</v>
      </c>
    </row>
    <row r="1397" spans="1:7" x14ac:dyDescent="0.2">
      <c r="A1397" s="944">
        <v>39061020502</v>
      </c>
      <c r="B1397" s="239" t="s">
        <v>1415</v>
      </c>
      <c r="C1397" s="286" t="s">
        <v>2975</v>
      </c>
      <c r="D1397" s="865" t="s">
        <v>2975</v>
      </c>
      <c r="E1397" s="287" t="s">
        <v>3562</v>
      </c>
      <c r="F1397" s="287" t="s">
        <v>3558</v>
      </c>
      <c r="G1397" s="288" t="s">
        <v>3568</v>
      </c>
    </row>
    <row r="1398" spans="1:7" x14ac:dyDescent="0.2">
      <c r="A1398" s="944">
        <v>39061020504</v>
      </c>
      <c r="B1398" s="239" t="s">
        <v>1416</v>
      </c>
      <c r="C1398" s="286" t="s">
        <v>2975</v>
      </c>
      <c r="D1398" s="865" t="s">
        <v>2975</v>
      </c>
      <c r="E1398" s="287" t="s">
        <v>3563</v>
      </c>
      <c r="F1398" s="287" t="s">
        <v>5177</v>
      </c>
      <c r="G1398" s="288" t="s">
        <v>3569</v>
      </c>
    </row>
    <row r="1399" spans="1:7" x14ac:dyDescent="0.2">
      <c r="A1399" s="944">
        <v>39061020505</v>
      </c>
      <c r="B1399" s="239" t="s">
        <v>1417</v>
      </c>
      <c r="C1399" s="286" t="s">
        <v>2975</v>
      </c>
      <c r="D1399" s="865" t="s">
        <v>2975</v>
      </c>
      <c r="E1399" s="287" t="s">
        <v>3564</v>
      </c>
      <c r="F1399" s="287" t="s">
        <v>5176</v>
      </c>
      <c r="G1399" s="288" t="s">
        <v>3569</v>
      </c>
    </row>
    <row r="1400" spans="1:7" x14ac:dyDescent="0.2">
      <c r="A1400" s="944">
        <v>39061020601</v>
      </c>
      <c r="B1400" s="239" t="s">
        <v>1418</v>
      </c>
      <c r="C1400" s="286" t="s">
        <v>2975</v>
      </c>
      <c r="D1400" s="865" t="s">
        <v>2975</v>
      </c>
      <c r="E1400" s="287" t="s">
        <v>3563</v>
      </c>
      <c r="F1400" s="287" t="s">
        <v>3565</v>
      </c>
      <c r="G1400" s="288" t="s">
        <v>3569</v>
      </c>
    </row>
    <row r="1401" spans="1:7" x14ac:dyDescent="0.2">
      <c r="A1401" s="944">
        <v>39061020602</v>
      </c>
      <c r="B1401" s="239" t="s">
        <v>1419</v>
      </c>
      <c r="C1401" s="286" t="s">
        <v>2975</v>
      </c>
      <c r="D1401" s="865" t="s">
        <v>2975</v>
      </c>
      <c r="E1401" s="287" t="s">
        <v>3566</v>
      </c>
      <c r="F1401" s="287" t="s">
        <v>3565</v>
      </c>
      <c r="G1401" s="288" t="s">
        <v>3569</v>
      </c>
    </row>
    <row r="1402" spans="1:7" x14ac:dyDescent="0.2">
      <c r="A1402" s="944">
        <v>39061020701</v>
      </c>
      <c r="B1402" s="239" t="s">
        <v>1420</v>
      </c>
      <c r="C1402" s="286" t="s">
        <v>2975</v>
      </c>
      <c r="D1402" s="865" t="s">
        <v>2975</v>
      </c>
      <c r="E1402" s="287" t="s">
        <v>3566</v>
      </c>
      <c r="F1402" s="287" t="s">
        <v>3558</v>
      </c>
      <c r="G1402" s="288" t="s">
        <v>3569</v>
      </c>
    </row>
    <row r="1403" spans="1:7" x14ac:dyDescent="0.2">
      <c r="A1403" s="944">
        <v>39061020705</v>
      </c>
      <c r="B1403" s="239" t="s">
        <v>1421</v>
      </c>
      <c r="C1403" s="286" t="s">
        <v>2975</v>
      </c>
      <c r="D1403" s="865" t="s">
        <v>2975</v>
      </c>
      <c r="E1403" s="287" t="s">
        <v>3564</v>
      </c>
      <c r="F1403" s="287" t="s">
        <v>5177</v>
      </c>
      <c r="G1403" s="288" t="s">
        <v>3569</v>
      </c>
    </row>
    <row r="1404" spans="1:7" x14ac:dyDescent="0.2">
      <c r="A1404" s="944">
        <v>39061020707</v>
      </c>
      <c r="B1404" s="239" t="s">
        <v>1422</v>
      </c>
      <c r="C1404" s="286" t="s">
        <v>2975</v>
      </c>
      <c r="D1404" s="865" t="s">
        <v>2975</v>
      </c>
      <c r="E1404" s="287" t="s">
        <v>3563</v>
      </c>
      <c r="F1404" s="287" t="s">
        <v>3558</v>
      </c>
      <c r="G1404" s="288" t="s">
        <v>3569</v>
      </c>
    </row>
    <row r="1405" spans="1:7" x14ac:dyDescent="0.2">
      <c r="A1405" s="944">
        <v>39061020741</v>
      </c>
      <c r="B1405" s="239" t="s">
        <v>1423</v>
      </c>
      <c r="C1405" s="286" t="s">
        <v>2975</v>
      </c>
      <c r="D1405" s="865" t="s">
        <v>2975</v>
      </c>
      <c r="E1405" s="287" t="s">
        <v>3566</v>
      </c>
      <c r="F1405" s="287" t="s">
        <v>5177</v>
      </c>
      <c r="G1405" s="288" t="s">
        <v>3569</v>
      </c>
    </row>
    <row r="1406" spans="1:7" x14ac:dyDescent="0.2">
      <c r="A1406" s="944">
        <v>39061020742</v>
      </c>
      <c r="B1406" s="239" t="s">
        <v>1424</v>
      </c>
      <c r="C1406" s="286" t="s">
        <v>2975</v>
      </c>
      <c r="D1406" s="865" t="s">
        <v>2975</v>
      </c>
      <c r="E1406" s="287" t="s">
        <v>3564</v>
      </c>
      <c r="F1406" s="287" t="s">
        <v>3565</v>
      </c>
      <c r="G1406" s="288" t="s">
        <v>3569</v>
      </c>
    </row>
    <row r="1407" spans="1:7" x14ac:dyDescent="0.2">
      <c r="A1407" s="944">
        <v>39061020761</v>
      </c>
      <c r="B1407" s="239" t="s">
        <v>1425</v>
      </c>
      <c r="C1407" s="286" t="s">
        <v>2975</v>
      </c>
      <c r="D1407" s="865" t="s">
        <v>2975</v>
      </c>
      <c r="E1407" s="287" t="s">
        <v>3566</v>
      </c>
      <c r="F1407" s="287" t="s">
        <v>5177</v>
      </c>
      <c r="G1407" s="288" t="s">
        <v>3569</v>
      </c>
    </row>
    <row r="1408" spans="1:7" x14ac:dyDescent="0.2">
      <c r="A1408" s="944">
        <v>39061020762</v>
      </c>
      <c r="B1408" s="239" t="s">
        <v>1426</v>
      </c>
      <c r="C1408" s="286" t="s">
        <v>2975</v>
      </c>
      <c r="D1408" s="865" t="s">
        <v>2975</v>
      </c>
      <c r="E1408" s="287" t="s">
        <v>3564</v>
      </c>
      <c r="F1408" s="287" t="s">
        <v>3559</v>
      </c>
      <c r="G1408" s="288" t="s">
        <v>3569</v>
      </c>
    </row>
    <row r="1409" spans="1:7" x14ac:dyDescent="0.2">
      <c r="A1409" s="944">
        <v>39061020802</v>
      </c>
      <c r="B1409" s="239" t="s">
        <v>1427</v>
      </c>
      <c r="C1409" s="286" t="s">
        <v>2975</v>
      </c>
      <c r="D1409" s="865" t="s">
        <v>2975</v>
      </c>
      <c r="E1409" s="287" t="s">
        <v>3563</v>
      </c>
      <c r="F1409" s="287" t="s">
        <v>5176</v>
      </c>
      <c r="G1409" s="288" t="s">
        <v>3569</v>
      </c>
    </row>
    <row r="1410" spans="1:7" x14ac:dyDescent="0.2">
      <c r="A1410" s="944">
        <v>39061020811</v>
      </c>
      <c r="B1410" s="239" t="s">
        <v>1428</v>
      </c>
      <c r="C1410" s="286" t="s">
        <v>2975</v>
      </c>
      <c r="D1410" s="865" t="s">
        <v>2975</v>
      </c>
      <c r="E1410" s="287" t="s">
        <v>3566</v>
      </c>
      <c r="F1410" s="287" t="s">
        <v>3559</v>
      </c>
      <c r="G1410" s="288" t="s">
        <v>3569</v>
      </c>
    </row>
    <row r="1411" spans="1:7" x14ac:dyDescent="0.2">
      <c r="A1411" s="944">
        <v>39061020812</v>
      </c>
      <c r="B1411" s="239" t="s">
        <v>1429</v>
      </c>
      <c r="C1411" s="286" t="s">
        <v>2975</v>
      </c>
      <c r="D1411" s="865" t="s">
        <v>2975</v>
      </c>
      <c r="E1411" s="287" t="s">
        <v>3563</v>
      </c>
      <c r="F1411" s="287" t="s">
        <v>3559</v>
      </c>
      <c r="G1411" s="288" t="s">
        <v>3569</v>
      </c>
    </row>
    <row r="1412" spans="1:7" x14ac:dyDescent="0.2">
      <c r="A1412" s="944">
        <v>39061020901</v>
      </c>
      <c r="B1412" s="239" t="s">
        <v>1430</v>
      </c>
      <c r="C1412" s="286" t="s">
        <v>2975</v>
      </c>
      <c r="D1412" s="865" t="s">
        <v>2975</v>
      </c>
      <c r="E1412" s="287" t="s">
        <v>3564</v>
      </c>
      <c r="F1412" s="287" t="s">
        <v>5176</v>
      </c>
      <c r="G1412" s="288" t="s">
        <v>3569</v>
      </c>
    </row>
    <row r="1413" spans="1:7" x14ac:dyDescent="0.2">
      <c r="A1413" s="944">
        <v>39061020902</v>
      </c>
      <c r="B1413" s="239" t="s">
        <v>1431</v>
      </c>
      <c r="C1413" s="286" t="s">
        <v>2975</v>
      </c>
      <c r="D1413" s="865" t="s">
        <v>2975</v>
      </c>
      <c r="E1413" s="287" t="s">
        <v>3564</v>
      </c>
      <c r="F1413" s="287" t="s">
        <v>5177</v>
      </c>
      <c r="G1413" s="288" t="s">
        <v>3569</v>
      </c>
    </row>
    <row r="1414" spans="1:7" x14ac:dyDescent="0.2">
      <c r="A1414" s="944">
        <v>39061021001</v>
      </c>
      <c r="B1414" s="239" t="s">
        <v>1432</v>
      </c>
      <c r="C1414" s="286" t="s">
        <v>2975</v>
      </c>
      <c r="D1414" s="865" t="s">
        <v>2975</v>
      </c>
      <c r="E1414" s="287" t="s">
        <v>3566</v>
      </c>
      <c r="F1414" s="287" t="s">
        <v>3559</v>
      </c>
      <c r="G1414" s="288" t="s">
        <v>3569</v>
      </c>
    </row>
    <row r="1415" spans="1:7" x14ac:dyDescent="0.2">
      <c r="A1415" s="944">
        <v>39061021002</v>
      </c>
      <c r="B1415" s="239" t="s">
        <v>1433</v>
      </c>
      <c r="C1415" s="286" t="s">
        <v>2975</v>
      </c>
      <c r="D1415" s="865" t="s">
        <v>2975</v>
      </c>
      <c r="E1415" s="287" t="s">
        <v>3563</v>
      </c>
      <c r="F1415" s="287" t="s">
        <v>3558</v>
      </c>
      <c r="G1415" s="288" t="s">
        <v>3569</v>
      </c>
    </row>
    <row r="1416" spans="1:7" x14ac:dyDescent="0.2">
      <c r="A1416" s="944">
        <v>39061021003</v>
      </c>
      <c r="B1416" s="239" t="s">
        <v>1434</v>
      </c>
      <c r="C1416" s="286" t="s">
        <v>2975</v>
      </c>
      <c r="D1416" s="865" t="s">
        <v>2975</v>
      </c>
      <c r="E1416" s="287" t="s">
        <v>3563</v>
      </c>
      <c r="F1416" s="287" t="s">
        <v>5176</v>
      </c>
      <c r="G1416" s="288" t="s">
        <v>3569</v>
      </c>
    </row>
    <row r="1417" spans="1:7" x14ac:dyDescent="0.2">
      <c r="A1417" s="944">
        <v>39061021101</v>
      </c>
      <c r="B1417" s="239" t="s">
        <v>1435</v>
      </c>
      <c r="C1417" s="286" t="s">
        <v>2975</v>
      </c>
      <c r="D1417" s="865" t="s">
        <v>2975</v>
      </c>
      <c r="E1417" s="287" t="s">
        <v>3563</v>
      </c>
      <c r="F1417" s="287" t="s">
        <v>3558</v>
      </c>
      <c r="G1417" s="288" t="s">
        <v>3569</v>
      </c>
    </row>
    <row r="1418" spans="1:7" x14ac:dyDescent="0.2">
      <c r="A1418" s="944">
        <v>39061021102</v>
      </c>
      <c r="B1418" s="239" t="s">
        <v>1436</v>
      </c>
      <c r="C1418" s="286" t="s">
        <v>2975</v>
      </c>
      <c r="D1418" s="865" t="s">
        <v>2975</v>
      </c>
      <c r="E1418" s="287" t="s">
        <v>3563</v>
      </c>
      <c r="F1418" s="287" t="s">
        <v>3559</v>
      </c>
      <c r="G1418" s="288" t="s">
        <v>3569</v>
      </c>
    </row>
    <row r="1419" spans="1:7" x14ac:dyDescent="0.2">
      <c r="A1419" s="944">
        <v>39061021201</v>
      </c>
      <c r="B1419" s="239" t="s">
        <v>1437</v>
      </c>
      <c r="C1419" s="286" t="s">
        <v>2975</v>
      </c>
      <c r="D1419" s="865" t="s">
        <v>2975</v>
      </c>
      <c r="E1419" s="287" t="s">
        <v>3563</v>
      </c>
      <c r="F1419" s="287" t="s">
        <v>3565</v>
      </c>
      <c r="G1419" s="288" t="s">
        <v>3569</v>
      </c>
    </row>
    <row r="1420" spans="1:7" x14ac:dyDescent="0.2">
      <c r="A1420" s="944">
        <v>39061021202</v>
      </c>
      <c r="B1420" s="239" t="s">
        <v>1438</v>
      </c>
      <c r="C1420" s="286" t="s">
        <v>2975</v>
      </c>
      <c r="D1420" s="865" t="s">
        <v>2975</v>
      </c>
      <c r="E1420" s="287" t="s">
        <v>3566</v>
      </c>
      <c r="F1420" s="287" t="s">
        <v>5176</v>
      </c>
      <c r="G1420" s="288" t="s">
        <v>3569</v>
      </c>
    </row>
    <row r="1421" spans="1:7" x14ac:dyDescent="0.2">
      <c r="A1421" s="944">
        <v>39061021302</v>
      </c>
      <c r="B1421" s="239" t="s">
        <v>1439</v>
      </c>
      <c r="C1421" s="286" t="s">
        <v>2975</v>
      </c>
      <c r="D1421" s="865" t="s">
        <v>2975</v>
      </c>
      <c r="E1421" s="287" t="s">
        <v>3563</v>
      </c>
      <c r="F1421" s="287" t="s">
        <v>3565</v>
      </c>
      <c r="G1421" s="288" t="s">
        <v>3569</v>
      </c>
    </row>
    <row r="1422" spans="1:7" x14ac:dyDescent="0.2">
      <c r="A1422" s="944">
        <v>39061021303</v>
      </c>
      <c r="B1422" s="239" t="s">
        <v>1440</v>
      </c>
      <c r="C1422" s="286" t="s">
        <v>2975</v>
      </c>
      <c r="D1422" s="865" t="s">
        <v>2975</v>
      </c>
      <c r="E1422" s="287" t="s">
        <v>3563</v>
      </c>
      <c r="F1422" s="287" t="s">
        <v>3558</v>
      </c>
      <c r="G1422" s="288" t="s">
        <v>3569</v>
      </c>
    </row>
    <row r="1423" spans="1:7" x14ac:dyDescent="0.2">
      <c r="A1423" s="944">
        <v>39061021304</v>
      </c>
      <c r="B1423" s="239" t="s">
        <v>1441</v>
      </c>
      <c r="C1423" s="286" t="s">
        <v>2975</v>
      </c>
      <c r="D1423" s="865" t="s">
        <v>2975</v>
      </c>
      <c r="E1423" s="287" t="s">
        <v>3566</v>
      </c>
      <c r="F1423" s="287" t="s">
        <v>5177</v>
      </c>
      <c r="G1423" s="288" t="s">
        <v>3569</v>
      </c>
    </row>
    <row r="1424" spans="1:7" x14ac:dyDescent="0.2">
      <c r="A1424" s="944">
        <v>39061021401</v>
      </c>
      <c r="B1424" s="239" t="s">
        <v>1442</v>
      </c>
      <c r="C1424" s="286" t="s">
        <v>4330</v>
      </c>
      <c r="D1424" s="865" t="s">
        <v>4330</v>
      </c>
      <c r="E1424" s="287" t="s">
        <v>3564</v>
      </c>
      <c r="F1424" s="287" t="s">
        <v>3558</v>
      </c>
      <c r="G1424" s="288" t="s">
        <v>3569</v>
      </c>
    </row>
    <row r="1425" spans="1:7" x14ac:dyDescent="0.2">
      <c r="A1425" s="944">
        <v>39061021421</v>
      </c>
      <c r="B1425" s="239" t="s">
        <v>1443</v>
      </c>
      <c r="C1425" s="286" t="s">
        <v>2975</v>
      </c>
      <c r="D1425" s="865" t="s">
        <v>2975</v>
      </c>
      <c r="E1425" s="287" t="s">
        <v>3563</v>
      </c>
      <c r="F1425" s="287" t="s">
        <v>5176</v>
      </c>
      <c r="G1425" s="288" t="s">
        <v>3569</v>
      </c>
    </row>
    <row r="1426" spans="1:7" x14ac:dyDescent="0.2">
      <c r="A1426" s="944">
        <v>39061021422</v>
      </c>
      <c r="B1426" s="239" t="s">
        <v>1444</v>
      </c>
      <c r="C1426" s="286" t="s">
        <v>2975</v>
      </c>
      <c r="D1426" s="865" t="s">
        <v>2975</v>
      </c>
      <c r="E1426" s="287" t="s">
        <v>3564</v>
      </c>
      <c r="F1426" s="287" t="s">
        <v>3558</v>
      </c>
      <c r="G1426" s="288" t="s">
        <v>3569</v>
      </c>
    </row>
    <row r="1427" spans="1:7" x14ac:dyDescent="0.2">
      <c r="A1427" s="944">
        <v>39061021501</v>
      </c>
      <c r="B1427" s="239" t="s">
        <v>1445</v>
      </c>
      <c r="C1427" s="286" t="s">
        <v>2975</v>
      </c>
      <c r="D1427" s="865" t="s">
        <v>2975</v>
      </c>
      <c r="E1427" s="287" t="s">
        <v>3566</v>
      </c>
      <c r="F1427" s="287" t="s">
        <v>3559</v>
      </c>
      <c r="G1427" s="288" t="s">
        <v>3569</v>
      </c>
    </row>
    <row r="1428" spans="1:7" x14ac:dyDescent="0.2">
      <c r="A1428" s="944">
        <v>39061021504</v>
      </c>
      <c r="B1428" s="239" t="s">
        <v>1446</v>
      </c>
      <c r="C1428" s="286" t="s">
        <v>2975</v>
      </c>
      <c r="D1428" s="865" t="s">
        <v>2975</v>
      </c>
      <c r="E1428" s="287" t="s">
        <v>3557</v>
      </c>
      <c r="F1428" s="287" t="s">
        <v>5176</v>
      </c>
      <c r="G1428" s="288" t="s">
        <v>3569</v>
      </c>
    </row>
    <row r="1429" spans="1:7" x14ac:dyDescent="0.2">
      <c r="A1429" s="944">
        <v>39061021505</v>
      </c>
      <c r="B1429" s="239" t="s">
        <v>1447</v>
      </c>
      <c r="C1429" s="286" t="s">
        <v>2975</v>
      </c>
      <c r="D1429" s="865" t="s">
        <v>2975</v>
      </c>
      <c r="E1429" s="287" t="s">
        <v>3564</v>
      </c>
      <c r="F1429" s="287" t="s">
        <v>5177</v>
      </c>
      <c r="G1429" s="288" t="s">
        <v>3569</v>
      </c>
    </row>
    <row r="1430" spans="1:7" x14ac:dyDescent="0.2">
      <c r="A1430" s="944">
        <v>39061021506</v>
      </c>
      <c r="B1430" s="239" t="s">
        <v>1448</v>
      </c>
      <c r="C1430" s="286" t="s">
        <v>2975</v>
      </c>
      <c r="D1430" s="865" t="s">
        <v>2975</v>
      </c>
      <c r="E1430" s="287" t="s">
        <v>3564</v>
      </c>
      <c r="F1430" s="287" t="s">
        <v>3559</v>
      </c>
      <c r="G1430" s="288" t="s">
        <v>3569</v>
      </c>
    </row>
    <row r="1431" spans="1:7" x14ac:dyDescent="0.2">
      <c r="A1431" s="944">
        <v>39061021508</v>
      </c>
      <c r="B1431" s="239" t="s">
        <v>1449</v>
      </c>
      <c r="C1431" s="286" t="s">
        <v>2975</v>
      </c>
      <c r="D1431" s="865" t="s">
        <v>2975</v>
      </c>
      <c r="E1431" s="287" t="s">
        <v>3564</v>
      </c>
      <c r="F1431" s="287" t="s">
        <v>3558</v>
      </c>
      <c r="G1431" s="288" t="s">
        <v>3569</v>
      </c>
    </row>
    <row r="1432" spans="1:7" x14ac:dyDescent="0.2">
      <c r="A1432" s="944">
        <v>39061021509</v>
      </c>
      <c r="B1432" s="239" t="s">
        <v>1450</v>
      </c>
      <c r="C1432" s="286" t="s">
        <v>2975</v>
      </c>
      <c r="D1432" s="865" t="s">
        <v>2975</v>
      </c>
      <c r="E1432" s="287" t="s">
        <v>3557</v>
      </c>
      <c r="F1432" s="287" t="s">
        <v>3559</v>
      </c>
      <c r="G1432" s="288" t="s">
        <v>3569</v>
      </c>
    </row>
    <row r="1433" spans="1:7" x14ac:dyDescent="0.2">
      <c r="A1433" s="944">
        <v>39061021571</v>
      </c>
      <c r="B1433" s="239" t="s">
        <v>1451</v>
      </c>
      <c r="C1433" s="286" t="s">
        <v>2975</v>
      </c>
      <c r="D1433" s="865" t="s">
        <v>2975</v>
      </c>
      <c r="E1433" s="287" t="s">
        <v>3566</v>
      </c>
      <c r="F1433" s="287" t="s">
        <v>5177</v>
      </c>
      <c r="G1433" s="288" t="s">
        <v>3569</v>
      </c>
    </row>
    <row r="1434" spans="1:7" x14ac:dyDescent="0.2">
      <c r="A1434" s="944">
        <v>39061021572</v>
      </c>
      <c r="B1434" s="239" t="s">
        <v>1452</v>
      </c>
      <c r="C1434" s="286" t="s">
        <v>2975</v>
      </c>
      <c r="D1434" s="865" t="s">
        <v>2975</v>
      </c>
      <c r="E1434" s="287" t="s">
        <v>3557</v>
      </c>
      <c r="F1434" s="287" t="s">
        <v>3558</v>
      </c>
      <c r="G1434" s="288" t="s">
        <v>3569</v>
      </c>
    </row>
    <row r="1435" spans="1:7" x14ac:dyDescent="0.2">
      <c r="A1435" s="944">
        <v>39061021602</v>
      </c>
      <c r="B1435" s="239" t="s">
        <v>1453</v>
      </c>
      <c r="C1435" s="286" t="s">
        <v>2975</v>
      </c>
      <c r="D1435" s="865" t="s">
        <v>2975</v>
      </c>
      <c r="E1435" s="287" t="s">
        <v>3557</v>
      </c>
      <c r="F1435" s="287" t="s">
        <v>5177</v>
      </c>
      <c r="G1435" s="288" t="s">
        <v>3569</v>
      </c>
    </row>
    <row r="1436" spans="1:7" x14ac:dyDescent="0.2">
      <c r="A1436" s="944">
        <v>39061021603</v>
      </c>
      <c r="B1436" s="239" t="s">
        <v>1454</v>
      </c>
      <c r="C1436" s="286" t="s">
        <v>2975</v>
      </c>
      <c r="D1436" s="865" t="s">
        <v>2975</v>
      </c>
      <c r="E1436" s="287" t="s">
        <v>3557</v>
      </c>
      <c r="F1436" s="287" t="s">
        <v>3559</v>
      </c>
      <c r="G1436" s="288" t="s">
        <v>3569</v>
      </c>
    </row>
    <row r="1437" spans="1:7" x14ac:dyDescent="0.2">
      <c r="A1437" s="944">
        <v>39061021604</v>
      </c>
      <c r="B1437" s="239" t="s">
        <v>1455</v>
      </c>
      <c r="C1437" s="286" t="s">
        <v>4330</v>
      </c>
      <c r="D1437" s="865" t="s">
        <v>4330</v>
      </c>
      <c r="E1437" s="287" t="s">
        <v>3557</v>
      </c>
      <c r="F1437" s="287" t="s">
        <v>5176</v>
      </c>
      <c r="G1437" s="288" t="s">
        <v>3569</v>
      </c>
    </row>
    <row r="1438" spans="1:7" x14ac:dyDescent="0.2">
      <c r="A1438" s="944">
        <v>39061021701</v>
      </c>
      <c r="B1438" s="239" t="s">
        <v>1456</v>
      </c>
      <c r="C1438" s="286" t="s">
        <v>4330</v>
      </c>
      <c r="D1438" s="865" t="s">
        <v>4330</v>
      </c>
      <c r="E1438" s="287" t="s">
        <v>3564</v>
      </c>
      <c r="F1438" s="287" t="s">
        <v>3565</v>
      </c>
      <c r="G1438" s="288" t="s">
        <v>3569</v>
      </c>
    </row>
    <row r="1439" spans="1:7" x14ac:dyDescent="0.2">
      <c r="A1439" s="944">
        <v>39061021702</v>
      </c>
      <c r="B1439" s="239" t="s">
        <v>1457</v>
      </c>
      <c r="C1439" s="286" t="s">
        <v>4330</v>
      </c>
      <c r="D1439" s="865" t="s">
        <v>4330</v>
      </c>
      <c r="E1439" s="287" t="s">
        <v>3557</v>
      </c>
      <c r="F1439" s="287" t="s">
        <v>3565</v>
      </c>
      <c r="G1439" s="288" t="s">
        <v>3569</v>
      </c>
    </row>
    <row r="1440" spans="1:7" x14ac:dyDescent="0.2">
      <c r="A1440" s="944">
        <v>39061021801</v>
      </c>
      <c r="B1440" s="239" t="s">
        <v>1458</v>
      </c>
      <c r="C1440" s="286" t="s">
        <v>2975</v>
      </c>
      <c r="D1440" s="865" t="s">
        <v>2975</v>
      </c>
      <c r="E1440" s="287" t="s">
        <v>3557</v>
      </c>
      <c r="F1440" s="287" t="s">
        <v>5177</v>
      </c>
      <c r="G1440" s="288" t="s">
        <v>3569</v>
      </c>
    </row>
    <row r="1441" spans="1:7" x14ac:dyDescent="0.2">
      <c r="A1441" s="944">
        <v>39061021802</v>
      </c>
      <c r="B1441" s="239" t="s">
        <v>1459</v>
      </c>
      <c r="C1441" s="286" t="s">
        <v>2975</v>
      </c>
      <c r="D1441" s="865" t="s">
        <v>2975</v>
      </c>
      <c r="E1441" s="287" t="s">
        <v>3557</v>
      </c>
      <c r="F1441" s="287" t="s">
        <v>5176</v>
      </c>
      <c r="G1441" s="288" t="s">
        <v>3569</v>
      </c>
    </row>
    <row r="1442" spans="1:7" x14ac:dyDescent="0.2">
      <c r="A1442" s="944">
        <v>39061021900</v>
      </c>
      <c r="B1442" s="239" t="s">
        <v>1460</v>
      </c>
      <c r="C1442" s="286" t="s">
        <v>4330</v>
      </c>
      <c r="D1442" s="865" t="s">
        <v>4330</v>
      </c>
      <c r="E1442" s="287" t="s">
        <v>3557</v>
      </c>
      <c r="F1442" s="287" t="s">
        <v>3558</v>
      </c>
      <c r="G1442" s="288" t="s">
        <v>3569</v>
      </c>
    </row>
    <row r="1443" spans="1:7" x14ac:dyDescent="0.2">
      <c r="A1443" s="944">
        <v>39061022000</v>
      </c>
      <c r="B1443" s="239" t="s">
        <v>1461</v>
      </c>
      <c r="C1443" s="286" t="s">
        <v>2975</v>
      </c>
      <c r="D1443" s="865" t="s">
        <v>2975</v>
      </c>
      <c r="E1443" s="287" t="s">
        <v>3566</v>
      </c>
      <c r="F1443" s="287" t="s">
        <v>3565</v>
      </c>
      <c r="G1443" s="288" t="s">
        <v>3569</v>
      </c>
    </row>
    <row r="1444" spans="1:7" x14ac:dyDescent="0.2">
      <c r="A1444" s="944">
        <v>39061022101</v>
      </c>
      <c r="B1444" s="239" t="s">
        <v>1462</v>
      </c>
      <c r="C1444" s="286" t="s">
        <v>2975</v>
      </c>
      <c r="D1444" s="865" t="s">
        <v>2975</v>
      </c>
      <c r="E1444" s="287" t="s">
        <v>3566</v>
      </c>
      <c r="F1444" s="287" t="s">
        <v>3565</v>
      </c>
      <c r="G1444" s="288" t="s">
        <v>3569</v>
      </c>
    </row>
    <row r="1445" spans="1:7" x14ac:dyDescent="0.2">
      <c r="A1445" s="944">
        <v>39061022102</v>
      </c>
      <c r="B1445" s="239" t="s">
        <v>1463</v>
      </c>
      <c r="C1445" s="286" t="s">
        <v>2975</v>
      </c>
      <c r="D1445" s="865" t="s">
        <v>2975</v>
      </c>
      <c r="E1445" s="287" t="s">
        <v>3564</v>
      </c>
      <c r="F1445" s="287" t="s">
        <v>3559</v>
      </c>
      <c r="G1445" s="288" t="s">
        <v>3569</v>
      </c>
    </row>
    <row r="1446" spans="1:7" x14ac:dyDescent="0.2">
      <c r="A1446" s="944">
        <v>39061022200</v>
      </c>
      <c r="B1446" s="239" t="s">
        <v>1464</v>
      </c>
      <c r="C1446" s="286" t="s">
        <v>2975</v>
      </c>
      <c r="D1446" s="865" t="s">
        <v>2975</v>
      </c>
      <c r="E1446" s="287" t="s">
        <v>3566</v>
      </c>
      <c r="F1446" s="287" t="s">
        <v>5176</v>
      </c>
      <c r="G1446" s="288" t="s">
        <v>3569</v>
      </c>
    </row>
    <row r="1447" spans="1:7" x14ac:dyDescent="0.2">
      <c r="A1447" s="944">
        <v>39061022301</v>
      </c>
      <c r="B1447" s="239" t="s">
        <v>1465</v>
      </c>
      <c r="C1447" s="286" t="s">
        <v>4330</v>
      </c>
      <c r="D1447" s="865" t="s">
        <v>4330</v>
      </c>
      <c r="E1447" s="287" t="s">
        <v>3564</v>
      </c>
      <c r="F1447" s="287" t="s">
        <v>3565</v>
      </c>
      <c r="G1447" s="288" t="s">
        <v>3569</v>
      </c>
    </row>
    <row r="1448" spans="1:7" x14ac:dyDescent="0.2">
      <c r="A1448" s="944">
        <v>39061022302</v>
      </c>
      <c r="B1448" s="239" t="s">
        <v>1466</v>
      </c>
      <c r="C1448" s="286" t="s">
        <v>2975</v>
      </c>
      <c r="D1448" s="865" t="s">
        <v>2975</v>
      </c>
      <c r="E1448" s="287" t="s">
        <v>3563</v>
      </c>
      <c r="F1448" s="287" t="s">
        <v>3565</v>
      </c>
      <c r="G1448" s="288" t="s">
        <v>3569</v>
      </c>
    </row>
    <row r="1449" spans="1:7" x14ac:dyDescent="0.2">
      <c r="A1449" s="944">
        <v>39061022400</v>
      </c>
      <c r="B1449" s="239" t="s">
        <v>1467</v>
      </c>
      <c r="C1449" s="286" t="s">
        <v>2975</v>
      </c>
      <c r="D1449" s="865" t="s">
        <v>2975</v>
      </c>
      <c r="E1449" s="287" t="s">
        <v>3563</v>
      </c>
      <c r="F1449" s="287" t="s">
        <v>5176</v>
      </c>
      <c r="G1449" s="288" t="s">
        <v>3569</v>
      </c>
    </row>
    <row r="1450" spans="1:7" x14ac:dyDescent="0.2">
      <c r="A1450" s="944">
        <v>39061022500</v>
      </c>
      <c r="B1450" s="239" t="s">
        <v>1468</v>
      </c>
      <c r="C1450" s="286" t="s">
        <v>2975</v>
      </c>
      <c r="D1450" s="865" t="s">
        <v>2975</v>
      </c>
      <c r="E1450" s="287" t="s">
        <v>3564</v>
      </c>
      <c r="F1450" s="287" t="s">
        <v>3565</v>
      </c>
      <c r="G1450" s="288" t="s">
        <v>3569</v>
      </c>
    </row>
    <row r="1451" spans="1:7" x14ac:dyDescent="0.2">
      <c r="A1451" s="944">
        <v>39061022601</v>
      </c>
      <c r="B1451" s="239" t="s">
        <v>1469</v>
      </c>
      <c r="C1451" s="286" t="s">
        <v>2975</v>
      </c>
      <c r="D1451" s="865" t="s">
        <v>2975</v>
      </c>
      <c r="E1451" s="287" t="s">
        <v>3562</v>
      </c>
      <c r="F1451" s="287" t="s">
        <v>3558</v>
      </c>
      <c r="G1451" s="288" t="s">
        <v>3569</v>
      </c>
    </row>
    <row r="1452" spans="1:7" x14ac:dyDescent="0.2">
      <c r="A1452" s="944">
        <v>39061022602</v>
      </c>
      <c r="B1452" s="239" t="s">
        <v>1470</v>
      </c>
      <c r="C1452" s="286" t="s">
        <v>2975</v>
      </c>
      <c r="D1452" s="865" t="s">
        <v>2975</v>
      </c>
      <c r="E1452" s="287" t="s">
        <v>3562</v>
      </c>
      <c r="F1452" s="287" t="s">
        <v>3559</v>
      </c>
      <c r="G1452" s="288" t="s">
        <v>3569</v>
      </c>
    </row>
    <row r="1453" spans="1:7" x14ac:dyDescent="0.2">
      <c r="A1453" s="944">
        <v>39061022700</v>
      </c>
      <c r="B1453" s="239" t="s">
        <v>1471</v>
      </c>
      <c r="C1453" s="286" t="s">
        <v>4330</v>
      </c>
      <c r="D1453" s="865" t="s">
        <v>4330</v>
      </c>
      <c r="E1453" s="287" t="s">
        <v>3557</v>
      </c>
      <c r="F1453" s="287" t="s">
        <v>3558</v>
      </c>
      <c r="G1453" s="288" t="s">
        <v>3569</v>
      </c>
    </row>
    <row r="1454" spans="1:7" x14ac:dyDescent="0.2">
      <c r="A1454" s="944">
        <v>39061023001</v>
      </c>
      <c r="B1454" s="239" t="s">
        <v>1472</v>
      </c>
      <c r="C1454" s="286" t="s">
        <v>2975</v>
      </c>
      <c r="D1454" s="865" t="s">
        <v>2975</v>
      </c>
      <c r="E1454" s="287" t="s">
        <v>3563</v>
      </c>
      <c r="F1454" s="287" t="s">
        <v>5177</v>
      </c>
      <c r="G1454" s="288" t="s">
        <v>3569</v>
      </c>
    </row>
    <row r="1455" spans="1:7" x14ac:dyDescent="0.2">
      <c r="A1455" s="944">
        <v>39061023002</v>
      </c>
      <c r="B1455" s="239" t="s">
        <v>1473</v>
      </c>
      <c r="C1455" s="286" t="s">
        <v>2975</v>
      </c>
      <c r="D1455" s="865" t="s">
        <v>2975</v>
      </c>
      <c r="E1455" s="287" t="s">
        <v>3566</v>
      </c>
      <c r="F1455" s="287" t="s">
        <v>3558</v>
      </c>
      <c r="G1455" s="288" t="s">
        <v>3569</v>
      </c>
    </row>
    <row r="1456" spans="1:7" x14ac:dyDescent="0.2">
      <c r="A1456" s="944">
        <v>39061023100</v>
      </c>
      <c r="B1456" s="239" t="s">
        <v>1474</v>
      </c>
      <c r="C1456" s="286" t="s">
        <v>2975</v>
      </c>
      <c r="D1456" s="865" t="s">
        <v>2975</v>
      </c>
      <c r="E1456" s="287" t="s">
        <v>3562</v>
      </c>
      <c r="F1456" s="287" t="s">
        <v>3559</v>
      </c>
      <c r="G1456" s="288" t="s">
        <v>3569</v>
      </c>
    </row>
    <row r="1457" spans="1:7" x14ac:dyDescent="0.2">
      <c r="A1457" s="944">
        <v>39061023201</v>
      </c>
      <c r="B1457" s="239" t="s">
        <v>1475</v>
      </c>
      <c r="C1457" s="286" t="s">
        <v>4330</v>
      </c>
      <c r="D1457" s="865" t="s">
        <v>4330</v>
      </c>
      <c r="E1457" s="287" t="s">
        <v>3564</v>
      </c>
      <c r="F1457" s="287" t="s">
        <v>3558</v>
      </c>
      <c r="G1457" s="288" t="s">
        <v>3569</v>
      </c>
    </row>
    <row r="1458" spans="1:7" x14ac:dyDescent="0.2">
      <c r="A1458" s="944">
        <v>39061023210</v>
      </c>
      <c r="B1458" s="239" t="s">
        <v>1476</v>
      </c>
      <c r="C1458" s="286" t="s">
        <v>2975</v>
      </c>
      <c r="D1458" s="865" t="s">
        <v>2975</v>
      </c>
      <c r="E1458" s="287" t="s">
        <v>3566</v>
      </c>
      <c r="F1458" s="287" t="s">
        <v>3559</v>
      </c>
      <c r="G1458" s="288" t="s">
        <v>3569</v>
      </c>
    </row>
    <row r="1459" spans="1:7" x14ac:dyDescent="0.2">
      <c r="A1459" s="944">
        <v>39061023222</v>
      </c>
      <c r="B1459" s="239" t="s">
        <v>1477</v>
      </c>
      <c r="C1459" s="286" t="s">
        <v>2975</v>
      </c>
      <c r="D1459" s="865" t="s">
        <v>2975</v>
      </c>
      <c r="E1459" s="287" t="s">
        <v>3566</v>
      </c>
      <c r="F1459" s="287" t="s">
        <v>3558</v>
      </c>
      <c r="G1459" s="288" t="s">
        <v>3569</v>
      </c>
    </row>
    <row r="1460" spans="1:7" x14ac:dyDescent="0.2">
      <c r="A1460" s="944">
        <v>39061023300</v>
      </c>
      <c r="B1460" s="239" t="s">
        <v>1478</v>
      </c>
      <c r="C1460" s="286" t="s">
        <v>2975</v>
      </c>
      <c r="D1460" s="865" t="s">
        <v>2975</v>
      </c>
      <c r="E1460" s="287" t="s">
        <v>3562</v>
      </c>
      <c r="F1460" s="287" t="s">
        <v>3559</v>
      </c>
      <c r="G1460" s="288" t="s">
        <v>3569</v>
      </c>
    </row>
    <row r="1461" spans="1:7" x14ac:dyDescent="0.2">
      <c r="A1461" s="944">
        <v>39061023400</v>
      </c>
      <c r="B1461" s="239" t="s">
        <v>1479</v>
      </c>
      <c r="C1461" s="286" t="s">
        <v>2975</v>
      </c>
      <c r="D1461" s="865" t="s">
        <v>2975</v>
      </c>
      <c r="E1461" s="287" t="s">
        <v>3557</v>
      </c>
      <c r="F1461" s="287" t="s">
        <v>3558</v>
      </c>
      <c r="G1461" s="288" t="s">
        <v>3569</v>
      </c>
    </row>
    <row r="1462" spans="1:7" x14ac:dyDescent="0.2">
      <c r="A1462" s="944">
        <v>39061023501</v>
      </c>
      <c r="B1462" s="239" t="s">
        <v>1480</v>
      </c>
      <c r="C1462" s="286" t="s">
        <v>2975</v>
      </c>
      <c r="D1462" s="865" t="s">
        <v>2975</v>
      </c>
      <c r="E1462" s="287" t="s">
        <v>3562</v>
      </c>
      <c r="F1462" s="287" t="s">
        <v>3565</v>
      </c>
      <c r="G1462" s="288" t="s">
        <v>3569</v>
      </c>
    </row>
    <row r="1463" spans="1:7" x14ac:dyDescent="0.2">
      <c r="A1463" s="944">
        <v>39061023521</v>
      </c>
      <c r="B1463" s="239" t="s">
        <v>1481</v>
      </c>
      <c r="C1463" s="286" t="s">
        <v>2975</v>
      </c>
      <c r="D1463" s="865" t="s">
        <v>2975</v>
      </c>
      <c r="E1463" s="287" t="s">
        <v>3562</v>
      </c>
      <c r="F1463" s="287" t="s">
        <v>3558</v>
      </c>
      <c r="G1463" s="288" t="s">
        <v>3569</v>
      </c>
    </row>
    <row r="1464" spans="1:7" x14ac:dyDescent="0.2">
      <c r="A1464" s="944">
        <v>39061023522</v>
      </c>
      <c r="B1464" s="239" t="s">
        <v>1482</v>
      </c>
      <c r="C1464" s="286" t="s">
        <v>2975</v>
      </c>
      <c r="D1464" s="865" t="s">
        <v>2975</v>
      </c>
      <c r="E1464" s="287" t="s">
        <v>3562</v>
      </c>
      <c r="F1464" s="287" t="s">
        <v>5177</v>
      </c>
      <c r="G1464" s="288" t="s">
        <v>3569</v>
      </c>
    </row>
    <row r="1465" spans="1:7" x14ac:dyDescent="0.2">
      <c r="A1465" s="944">
        <v>39061023600</v>
      </c>
      <c r="B1465" s="239" t="s">
        <v>1483</v>
      </c>
      <c r="C1465" s="286" t="s">
        <v>2975</v>
      </c>
      <c r="D1465" s="865" t="s">
        <v>2975</v>
      </c>
      <c r="E1465" s="287" t="s">
        <v>3563</v>
      </c>
      <c r="F1465" s="287" t="s">
        <v>5177</v>
      </c>
      <c r="G1465" s="288" t="s">
        <v>3569</v>
      </c>
    </row>
    <row r="1466" spans="1:7" x14ac:dyDescent="0.2">
      <c r="A1466" s="944">
        <v>39061023701</v>
      </c>
      <c r="B1466" s="239" t="s">
        <v>1484</v>
      </c>
      <c r="C1466" s="286" t="s">
        <v>2975</v>
      </c>
      <c r="D1466" s="865" t="s">
        <v>2975</v>
      </c>
      <c r="E1466" s="287" t="s">
        <v>3563</v>
      </c>
      <c r="F1466" s="287" t="s">
        <v>3558</v>
      </c>
      <c r="G1466" s="288" t="s">
        <v>3569</v>
      </c>
    </row>
    <row r="1467" spans="1:7" x14ac:dyDescent="0.2">
      <c r="A1467" s="944">
        <v>39061023702</v>
      </c>
      <c r="B1467" s="239" t="s">
        <v>1485</v>
      </c>
      <c r="C1467" s="286" t="s">
        <v>2975</v>
      </c>
      <c r="D1467" s="865" t="s">
        <v>2975</v>
      </c>
      <c r="E1467" s="287" t="s">
        <v>3563</v>
      </c>
      <c r="F1467" s="287" t="s">
        <v>3559</v>
      </c>
      <c r="G1467" s="288" t="s">
        <v>3569</v>
      </c>
    </row>
    <row r="1468" spans="1:7" x14ac:dyDescent="0.2">
      <c r="A1468" s="944">
        <v>39061023800</v>
      </c>
      <c r="B1468" s="239" t="s">
        <v>1486</v>
      </c>
      <c r="C1468" s="286" t="s">
        <v>2975</v>
      </c>
      <c r="D1468" s="865" t="s">
        <v>4330</v>
      </c>
      <c r="E1468" s="287" t="s">
        <v>3564</v>
      </c>
      <c r="F1468" s="287" t="s">
        <v>5176</v>
      </c>
      <c r="G1468" s="288" t="s">
        <v>3569</v>
      </c>
    </row>
    <row r="1469" spans="1:7" x14ac:dyDescent="0.2">
      <c r="A1469" s="944">
        <v>39061023901</v>
      </c>
      <c r="B1469" s="239" t="s">
        <v>1487</v>
      </c>
      <c r="C1469" s="286" t="s">
        <v>2975</v>
      </c>
      <c r="D1469" s="865" t="s">
        <v>2975</v>
      </c>
      <c r="E1469" s="287" t="s">
        <v>3562</v>
      </c>
      <c r="F1469" s="287" t="s">
        <v>3558</v>
      </c>
      <c r="G1469" s="288" t="s">
        <v>3569</v>
      </c>
    </row>
    <row r="1470" spans="1:7" x14ac:dyDescent="0.2">
      <c r="A1470" s="944">
        <v>39061023902</v>
      </c>
      <c r="B1470" s="239" t="s">
        <v>1488</v>
      </c>
      <c r="C1470" s="286" t="s">
        <v>2975</v>
      </c>
      <c r="D1470" s="865" t="s">
        <v>2975</v>
      </c>
      <c r="E1470" s="287" t="s">
        <v>3562</v>
      </c>
      <c r="F1470" s="287" t="s">
        <v>3558</v>
      </c>
      <c r="G1470" s="288" t="s">
        <v>3569</v>
      </c>
    </row>
    <row r="1471" spans="1:7" x14ac:dyDescent="0.2">
      <c r="A1471" s="944">
        <v>39061024001</v>
      </c>
      <c r="B1471" s="239" t="s">
        <v>1489</v>
      </c>
      <c r="C1471" s="286" t="s">
        <v>2975</v>
      </c>
      <c r="D1471" s="865" t="s">
        <v>2975</v>
      </c>
      <c r="E1471" s="287" t="s">
        <v>3562</v>
      </c>
      <c r="F1471" s="287" t="s">
        <v>3565</v>
      </c>
      <c r="G1471" s="288" t="s">
        <v>3569</v>
      </c>
    </row>
    <row r="1472" spans="1:7" x14ac:dyDescent="0.2">
      <c r="A1472" s="944">
        <v>39061024002</v>
      </c>
      <c r="B1472" s="239" t="s">
        <v>1490</v>
      </c>
      <c r="C1472" s="286" t="s">
        <v>2975</v>
      </c>
      <c r="D1472" s="865" t="s">
        <v>2975</v>
      </c>
      <c r="E1472" s="287" t="s">
        <v>3562</v>
      </c>
      <c r="F1472" s="287" t="s">
        <v>5177</v>
      </c>
      <c r="G1472" s="288" t="s">
        <v>3569</v>
      </c>
    </row>
    <row r="1473" spans="1:7" x14ac:dyDescent="0.2">
      <c r="A1473" s="944">
        <v>39061024100</v>
      </c>
      <c r="B1473" s="239" t="s">
        <v>1491</v>
      </c>
      <c r="C1473" s="286" t="s">
        <v>2975</v>
      </c>
      <c r="D1473" s="865" t="s">
        <v>2975</v>
      </c>
      <c r="E1473" s="287" t="s">
        <v>3562</v>
      </c>
      <c r="F1473" s="287" t="s">
        <v>5177</v>
      </c>
      <c r="G1473" s="288" t="s">
        <v>3569</v>
      </c>
    </row>
    <row r="1474" spans="1:7" x14ac:dyDescent="0.2">
      <c r="A1474" s="944">
        <v>39061024200</v>
      </c>
      <c r="B1474" s="239" t="s">
        <v>1492</v>
      </c>
      <c r="C1474" s="286" t="s">
        <v>2975</v>
      </c>
      <c r="D1474" s="865" t="s">
        <v>2975</v>
      </c>
      <c r="E1474" s="287" t="s">
        <v>3562</v>
      </c>
      <c r="F1474" s="287" t="s">
        <v>3565</v>
      </c>
      <c r="G1474" s="288" t="s">
        <v>3569</v>
      </c>
    </row>
    <row r="1475" spans="1:7" x14ac:dyDescent="0.2">
      <c r="A1475" s="944">
        <v>39061024301</v>
      </c>
      <c r="B1475" s="239" t="s">
        <v>1493</v>
      </c>
      <c r="C1475" s="286" t="s">
        <v>2975</v>
      </c>
      <c r="D1475" s="865" t="s">
        <v>2975</v>
      </c>
      <c r="E1475" s="287" t="s">
        <v>3562</v>
      </c>
      <c r="F1475" s="287" t="s">
        <v>3558</v>
      </c>
      <c r="G1475" s="288" t="s">
        <v>3569</v>
      </c>
    </row>
    <row r="1476" spans="1:7" x14ac:dyDescent="0.2">
      <c r="A1476" s="944">
        <v>39061024303</v>
      </c>
      <c r="B1476" s="239" t="s">
        <v>1494</v>
      </c>
      <c r="C1476" s="286" t="s">
        <v>2975</v>
      </c>
      <c r="D1476" s="865" t="s">
        <v>2975</v>
      </c>
      <c r="E1476" s="287" t="s">
        <v>3563</v>
      </c>
      <c r="F1476" s="287" t="s">
        <v>3565</v>
      </c>
      <c r="G1476" s="288" t="s">
        <v>3569</v>
      </c>
    </row>
    <row r="1477" spans="1:7" x14ac:dyDescent="0.2">
      <c r="A1477" s="944">
        <v>39061024321</v>
      </c>
      <c r="B1477" s="239" t="s">
        <v>1495</v>
      </c>
      <c r="C1477" s="286" t="s">
        <v>2975</v>
      </c>
      <c r="D1477" s="865" t="s">
        <v>2975</v>
      </c>
      <c r="E1477" s="287" t="s">
        <v>3562</v>
      </c>
      <c r="F1477" s="287" t="s">
        <v>3558</v>
      </c>
      <c r="G1477" s="288" t="s">
        <v>3569</v>
      </c>
    </row>
    <row r="1478" spans="1:7" x14ac:dyDescent="0.2">
      <c r="A1478" s="944">
        <v>39061024322</v>
      </c>
      <c r="B1478" s="239" t="s">
        <v>1496</v>
      </c>
      <c r="C1478" s="286" t="s">
        <v>2975</v>
      </c>
      <c r="D1478" s="865" t="s">
        <v>2975</v>
      </c>
      <c r="E1478" s="287" t="s">
        <v>3562</v>
      </c>
      <c r="F1478" s="287" t="s">
        <v>3559</v>
      </c>
      <c r="G1478" s="288" t="s">
        <v>3569</v>
      </c>
    </row>
    <row r="1479" spans="1:7" x14ac:dyDescent="0.2">
      <c r="A1479" s="944">
        <v>39061024400</v>
      </c>
      <c r="B1479" s="239" t="s">
        <v>1497</v>
      </c>
      <c r="C1479" s="286" t="s">
        <v>2975</v>
      </c>
      <c r="D1479" s="865" t="s">
        <v>2975</v>
      </c>
      <c r="E1479" s="287" t="s">
        <v>3562</v>
      </c>
      <c r="F1479" s="287" t="s">
        <v>3565</v>
      </c>
      <c r="G1479" s="288" t="s">
        <v>3569</v>
      </c>
    </row>
    <row r="1480" spans="1:7" x14ac:dyDescent="0.2">
      <c r="A1480" s="944">
        <v>39061024700</v>
      </c>
      <c r="B1480" s="239" t="s">
        <v>1498</v>
      </c>
      <c r="C1480" s="286" t="s">
        <v>2975</v>
      </c>
      <c r="D1480" s="865" t="s">
        <v>2975</v>
      </c>
      <c r="E1480" s="287" t="s">
        <v>3563</v>
      </c>
      <c r="F1480" s="287" t="s">
        <v>3558</v>
      </c>
      <c r="G1480" s="288" t="s">
        <v>3569</v>
      </c>
    </row>
    <row r="1481" spans="1:7" x14ac:dyDescent="0.2">
      <c r="A1481" s="944">
        <v>39061024800</v>
      </c>
      <c r="B1481" s="239" t="s">
        <v>1499</v>
      </c>
      <c r="C1481" s="286" t="s">
        <v>2975</v>
      </c>
      <c r="D1481" s="865" t="s">
        <v>2975</v>
      </c>
      <c r="E1481" s="287" t="s">
        <v>3562</v>
      </c>
      <c r="F1481" s="287" t="s">
        <v>3558</v>
      </c>
      <c r="G1481" s="288" t="s">
        <v>3569</v>
      </c>
    </row>
    <row r="1482" spans="1:7" x14ac:dyDescent="0.2">
      <c r="A1482" s="944">
        <v>39061024901</v>
      </c>
      <c r="B1482" s="239" t="s">
        <v>1500</v>
      </c>
      <c r="C1482" s="286" t="s">
        <v>2975</v>
      </c>
      <c r="D1482" s="865" t="s">
        <v>2975</v>
      </c>
      <c r="E1482" s="287" t="s">
        <v>3564</v>
      </c>
      <c r="F1482" s="287" t="s">
        <v>3559</v>
      </c>
      <c r="G1482" s="288" t="s">
        <v>3569</v>
      </c>
    </row>
    <row r="1483" spans="1:7" x14ac:dyDescent="0.2">
      <c r="A1483" s="944">
        <v>39061024902</v>
      </c>
      <c r="B1483" s="239" t="s">
        <v>1501</v>
      </c>
      <c r="C1483" s="286" t="s">
        <v>2975</v>
      </c>
      <c r="D1483" s="865" t="s">
        <v>2975</v>
      </c>
      <c r="E1483" s="287" t="s">
        <v>3562</v>
      </c>
      <c r="F1483" s="287" t="s">
        <v>3565</v>
      </c>
      <c r="G1483" s="288" t="s">
        <v>3569</v>
      </c>
    </row>
    <row r="1484" spans="1:7" x14ac:dyDescent="0.2">
      <c r="A1484" s="944">
        <v>39061025001</v>
      </c>
      <c r="B1484" s="239" t="s">
        <v>1502</v>
      </c>
      <c r="C1484" s="286" t="s">
        <v>2975</v>
      </c>
      <c r="D1484" s="865" t="s">
        <v>2975</v>
      </c>
      <c r="E1484" s="287" t="s">
        <v>3563</v>
      </c>
      <c r="F1484" s="287" t="s">
        <v>3559</v>
      </c>
      <c r="G1484" s="288" t="s">
        <v>3569</v>
      </c>
    </row>
    <row r="1485" spans="1:7" x14ac:dyDescent="0.2">
      <c r="A1485" s="944">
        <v>39061025002</v>
      </c>
      <c r="B1485" s="239" t="s">
        <v>1503</v>
      </c>
      <c r="C1485" s="286" t="s">
        <v>2975</v>
      </c>
      <c r="D1485" s="865" t="s">
        <v>2975</v>
      </c>
      <c r="E1485" s="287" t="s">
        <v>3562</v>
      </c>
      <c r="F1485" s="287" t="s">
        <v>3559</v>
      </c>
      <c r="G1485" s="288" t="s">
        <v>3569</v>
      </c>
    </row>
    <row r="1486" spans="1:7" x14ac:dyDescent="0.2">
      <c r="A1486" s="944">
        <v>39061025101</v>
      </c>
      <c r="B1486" s="239" t="s">
        <v>1504</v>
      </c>
      <c r="C1486" s="286" t="s">
        <v>2975</v>
      </c>
      <c r="D1486" s="865" t="s">
        <v>2975</v>
      </c>
      <c r="E1486" s="287" t="s">
        <v>3562</v>
      </c>
      <c r="F1486" s="287" t="s">
        <v>5176</v>
      </c>
      <c r="G1486" s="288" t="s">
        <v>3569</v>
      </c>
    </row>
    <row r="1487" spans="1:7" x14ac:dyDescent="0.2">
      <c r="A1487" s="944">
        <v>39061025102</v>
      </c>
      <c r="B1487" s="239" t="s">
        <v>1505</v>
      </c>
      <c r="C1487" s="286" t="s">
        <v>2975</v>
      </c>
      <c r="D1487" s="865" t="s">
        <v>2975</v>
      </c>
      <c r="E1487" s="287" t="s">
        <v>3562</v>
      </c>
      <c r="F1487" s="287" t="s">
        <v>3559</v>
      </c>
      <c r="G1487" s="288" t="s">
        <v>3569</v>
      </c>
    </row>
    <row r="1488" spans="1:7" x14ac:dyDescent="0.2">
      <c r="A1488" s="944">
        <v>39061025103</v>
      </c>
      <c r="B1488" s="239" t="s">
        <v>1506</v>
      </c>
      <c r="C1488" s="286" t="s">
        <v>2975</v>
      </c>
      <c r="D1488" s="865" t="s">
        <v>2975</v>
      </c>
      <c r="E1488" s="287" t="s">
        <v>3563</v>
      </c>
      <c r="F1488" s="287" t="s">
        <v>3559</v>
      </c>
      <c r="G1488" s="288" t="s">
        <v>3569</v>
      </c>
    </row>
    <row r="1489" spans="1:7" x14ac:dyDescent="0.2">
      <c r="A1489" s="944">
        <v>39061025104</v>
      </c>
      <c r="B1489" s="239" t="s">
        <v>1507</v>
      </c>
      <c r="C1489" s="286" t="s">
        <v>2975</v>
      </c>
      <c r="D1489" s="865" t="s">
        <v>2975</v>
      </c>
      <c r="E1489" s="287" t="s">
        <v>3562</v>
      </c>
      <c r="F1489" s="287" t="s">
        <v>3559</v>
      </c>
      <c r="G1489" s="288" t="s">
        <v>3568</v>
      </c>
    </row>
    <row r="1490" spans="1:7" x14ac:dyDescent="0.2">
      <c r="A1490" s="944">
        <v>39061025200</v>
      </c>
      <c r="B1490" s="239" t="s">
        <v>1508</v>
      </c>
      <c r="C1490" s="286" t="s">
        <v>4330</v>
      </c>
      <c r="D1490" s="865" t="s">
        <v>4330</v>
      </c>
      <c r="E1490" s="287" t="s">
        <v>3564</v>
      </c>
      <c r="F1490" s="287" t="s">
        <v>3565</v>
      </c>
      <c r="G1490" s="288" t="s">
        <v>3569</v>
      </c>
    </row>
    <row r="1491" spans="1:7" x14ac:dyDescent="0.2">
      <c r="A1491" s="944">
        <v>39061025300</v>
      </c>
      <c r="B1491" s="239" t="s">
        <v>1509</v>
      </c>
      <c r="C1491" s="286" t="s">
        <v>2975</v>
      </c>
      <c r="D1491" s="865" t="s">
        <v>4330</v>
      </c>
      <c r="E1491" s="287" t="s">
        <v>3566</v>
      </c>
      <c r="F1491" s="287" t="s">
        <v>5177</v>
      </c>
      <c r="G1491" s="288" t="s">
        <v>3569</v>
      </c>
    </row>
    <row r="1492" spans="1:7" x14ac:dyDescent="0.2">
      <c r="A1492" s="944">
        <v>39061025401</v>
      </c>
      <c r="B1492" s="239" t="s">
        <v>1510</v>
      </c>
      <c r="C1492" s="286" t="s">
        <v>2975</v>
      </c>
      <c r="D1492" s="865" t="s">
        <v>2975</v>
      </c>
      <c r="E1492" s="287" t="s">
        <v>3563</v>
      </c>
      <c r="F1492" s="287" t="s">
        <v>5177</v>
      </c>
      <c r="G1492" s="288" t="s">
        <v>3569</v>
      </c>
    </row>
    <row r="1493" spans="1:7" x14ac:dyDescent="0.2">
      <c r="A1493" s="944">
        <v>39061025402</v>
      </c>
      <c r="B1493" s="239" t="s">
        <v>1511</v>
      </c>
      <c r="C1493" s="286" t="s">
        <v>2975</v>
      </c>
      <c r="D1493" s="865" t="s">
        <v>2975</v>
      </c>
      <c r="E1493" s="287" t="s">
        <v>3563</v>
      </c>
      <c r="F1493" s="287" t="s">
        <v>3565</v>
      </c>
      <c r="G1493" s="288" t="s">
        <v>3569</v>
      </c>
    </row>
    <row r="1494" spans="1:7" x14ac:dyDescent="0.2">
      <c r="A1494" s="944">
        <v>39061025500</v>
      </c>
      <c r="B1494" s="239" t="s">
        <v>1512</v>
      </c>
      <c r="C1494" s="286" t="s">
        <v>4330</v>
      </c>
      <c r="D1494" s="865" t="s">
        <v>4330</v>
      </c>
      <c r="E1494" s="287" t="s">
        <v>3564</v>
      </c>
      <c r="F1494" s="287" t="s">
        <v>3559</v>
      </c>
      <c r="G1494" s="288" t="s">
        <v>3569</v>
      </c>
    </row>
    <row r="1495" spans="1:7" x14ac:dyDescent="0.2">
      <c r="A1495" s="944">
        <v>39061025600</v>
      </c>
      <c r="B1495" s="239" t="s">
        <v>1513</v>
      </c>
      <c r="C1495" s="286" t="s">
        <v>4330</v>
      </c>
      <c r="D1495" s="865" t="s">
        <v>4330</v>
      </c>
      <c r="E1495" s="287" t="s">
        <v>3566</v>
      </c>
      <c r="F1495" s="287" t="s">
        <v>5177</v>
      </c>
      <c r="G1495" s="288" t="s">
        <v>3569</v>
      </c>
    </row>
    <row r="1496" spans="1:7" x14ac:dyDescent="0.2">
      <c r="A1496" s="944">
        <v>39061025700</v>
      </c>
      <c r="B1496" s="239" t="s">
        <v>1514</v>
      </c>
      <c r="C1496" s="286" t="s">
        <v>4330</v>
      </c>
      <c r="D1496" s="865" t="s">
        <v>4330</v>
      </c>
      <c r="E1496" s="287" t="s">
        <v>3557</v>
      </c>
      <c r="F1496" s="287" t="s">
        <v>3558</v>
      </c>
      <c r="G1496" s="288" t="s">
        <v>3569</v>
      </c>
    </row>
    <row r="1497" spans="1:7" x14ac:dyDescent="0.2">
      <c r="A1497" s="944">
        <v>39061025800</v>
      </c>
      <c r="B1497" s="239" t="s">
        <v>1515</v>
      </c>
      <c r="C1497" s="286" t="s">
        <v>2975</v>
      </c>
      <c r="D1497" s="865" t="s">
        <v>2975</v>
      </c>
      <c r="E1497" s="287" t="s">
        <v>3564</v>
      </c>
      <c r="F1497" s="287" t="s">
        <v>5177</v>
      </c>
      <c r="G1497" s="288" t="s">
        <v>3569</v>
      </c>
    </row>
    <row r="1498" spans="1:7" x14ac:dyDescent="0.2">
      <c r="A1498" s="944">
        <v>39061026001</v>
      </c>
      <c r="B1498" s="239" t="s">
        <v>1516</v>
      </c>
      <c r="C1498" s="286" t="s">
        <v>2975</v>
      </c>
      <c r="D1498" s="865" t="s">
        <v>2975</v>
      </c>
      <c r="E1498" s="287" t="s">
        <v>3562</v>
      </c>
      <c r="F1498" s="287" t="s">
        <v>5177</v>
      </c>
      <c r="G1498" s="288" t="s">
        <v>3568</v>
      </c>
    </row>
    <row r="1499" spans="1:7" x14ac:dyDescent="0.2">
      <c r="A1499" s="944">
        <v>39061026002</v>
      </c>
      <c r="B1499" s="239" t="s">
        <v>1517</v>
      </c>
      <c r="C1499" s="286" t="s">
        <v>2975</v>
      </c>
      <c r="D1499" s="865" t="s">
        <v>2975</v>
      </c>
      <c r="E1499" s="287" t="s">
        <v>3563</v>
      </c>
      <c r="F1499" s="287" t="s">
        <v>5177</v>
      </c>
      <c r="G1499" s="288" t="s">
        <v>3568</v>
      </c>
    </row>
    <row r="1500" spans="1:7" x14ac:dyDescent="0.2">
      <c r="A1500" s="944">
        <v>39061026101</v>
      </c>
      <c r="B1500" s="239" t="s">
        <v>1518</v>
      </c>
      <c r="C1500" s="286" t="s">
        <v>2975</v>
      </c>
      <c r="D1500" s="865" t="s">
        <v>2975</v>
      </c>
      <c r="E1500" s="287" t="s">
        <v>3566</v>
      </c>
      <c r="F1500" s="287" t="s">
        <v>5176</v>
      </c>
      <c r="G1500" s="288" t="s">
        <v>3568</v>
      </c>
    </row>
    <row r="1501" spans="1:7" x14ac:dyDescent="0.2">
      <c r="A1501" s="944">
        <v>39061026102</v>
      </c>
      <c r="B1501" s="239" t="s">
        <v>1519</v>
      </c>
      <c r="C1501" s="286" t="s">
        <v>2975</v>
      </c>
      <c r="D1501" s="865" t="s">
        <v>2975</v>
      </c>
      <c r="E1501" s="287" t="s">
        <v>3566</v>
      </c>
      <c r="F1501" s="287" t="s">
        <v>3565</v>
      </c>
      <c r="G1501" s="288" t="s">
        <v>3568</v>
      </c>
    </row>
    <row r="1502" spans="1:7" x14ac:dyDescent="0.2">
      <c r="A1502" s="944">
        <v>39061026200</v>
      </c>
      <c r="B1502" s="239" t="s">
        <v>1520</v>
      </c>
      <c r="C1502" s="286" t="s">
        <v>4330</v>
      </c>
      <c r="D1502" s="865" t="s">
        <v>4330</v>
      </c>
      <c r="E1502" s="287" t="s">
        <v>3557</v>
      </c>
      <c r="F1502" s="287" t="s">
        <v>5177</v>
      </c>
      <c r="G1502" s="288" t="s">
        <v>3568</v>
      </c>
    </row>
    <row r="1503" spans="1:7" x14ac:dyDescent="0.2">
      <c r="A1503" s="944">
        <v>39061026300</v>
      </c>
      <c r="B1503" s="239" t="s">
        <v>1521</v>
      </c>
      <c r="C1503" s="286" t="s">
        <v>4330</v>
      </c>
      <c r="D1503" s="865" t="s">
        <v>4330</v>
      </c>
      <c r="E1503" s="287" t="s">
        <v>3557</v>
      </c>
      <c r="F1503" s="287" t="s">
        <v>5176</v>
      </c>
      <c r="G1503" s="288" t="s">
        <v>3553</v>
      </c>
    </row>
    <row r="1504" spans="1:7" x14ac:dyDescent="0.2">
      <c r="A1504" s="944">
        <v>39061026400</v>
      </c>
      <c r="B1504" s="239" t="s">
        <v>1522</v>
      </c>
      <c r="C1504" s="286" t="s">
        <v>4330</v>
      </c>
      <c r="D1504" s="865" t="s">
        <v>4330</v>
      </c>
      <c r="E1504" s="287" t="s">
        <v>3566</v>
      </c>
      <c r="F1504" s="287" t="s">
        <v>5177</v>
      </c>
      <c r="G1504" s="288" t="s">
        <v>3553</v>
      </c>
    </row>
    <row r="1505" spans="1:7" x14ac:dyDescent="0.2">
      <c r="A1505" s="944">
        <v>39061026500</v>
      </c>
      <c r="B1505" s="239" t="s">
        <v>1523</v>
      </c>
      <c r="C1505" s="286" t="s">
        <v>2975</v>
      </c>
      <c r="D1505" s="865" t="s">
        <v>2975</v>
      </c>
      <c r="E1505" s="287" t="s">
        <v>3562</v>
      </c>
      <c r="F1505" s="287" t="s">
        <v>5177</v>
      </c>
      <c r="G1505" s="288" t="s">
        <v>3553</v>
      </c>
    </row>
    <row r="1506" spans="1:7" x14ac:dyDescent="0.2">
      <c r="A1506" s="944">
        <v>39061026600</v>
      </c>
      <c r="B1506" s="239" t="s">
        <v>1524</v>
      </c>
      <c r="C1506" s="286" t="s">
        <v>2975</v>
      </c>
      <c r="D1506" s="865" t="s">
        <v>2975</v>
      </c>
      <c r="E1506" s="287" t="s">
        <v>3566</v>
      </c>
      <c r="F1506" s="287" t="s">
        <v>5177</v>
      </c>
      <c r="G1506" s="288" t="s">
        <v>3569</v>
      </c>
    </row>
    <row r="1507" spans="1:7" x14ac:dyDescent="0.2">
      <c r="A1507" s="944">
        <v>39061026700</v>
      </c>
      <c r="B1507" s="239" t="s">
        <v>1525</v>
      </c>
      <c r="C1507" s="286" t="s">
        <v>4330</v>
      </c>
      <c r="D1507" s="865" t="s">
        <v>4330</v>
      </c>
      <c r="E1507" s="287" t="s">
        <v>3557</v>
      </c>
      <c r="F1507" s="287" t="s">
        <v>5177</v>
      </c>
      <c r="G1507" s="288" t="s">
        <v>3553</v>
      </c>
    </row>
    <row r="1508" spans="1:7" x14ac:dyDescent="0.2">
      <c r="A1508" s="944">
        <v>39061026800</v>
      </c>
      <c r="B1508" s="239" t="s">
        <v>1526</v>
      </c>
      <c r="C1508" s="286" t="s">
        <v>2975</v>
      </c>
      <c r="D1508" s="865" t="s">
        <v>2975</v>
      </c>
      <c r="E1508" s="287" t="s">
        <v>3562</v>
      </c>
      <c r="F1508" s="287" t="s">
        <v>3559</v>
      </c>
      <c r="G1508" s="288" t="s">
        <v>3553</v>
      </c>
    </row>
    <row r="1509" spans="1:7" x14ac:dyDescent="0.2">
      <c r="A1509" s="944">
        <v>39061026900</v>
      </c>
      <c r="B1509" s="239" t="s">
        <v>1527</v>
      </c>
      <c r="C1509" s="286" t="s">
        <v>4330</v>
      </c>
      <c r="D1509" s="865" t="s">
        <v>4330</v>
      </c>
      <c r="E1509" s="287" t="s">
        <v>3557</v>
      </c>
      <c r="F1509" s="287" t="s">
        <v>5177</v>
      </c>
      <c r="G1509" s="288" t="s">
        <v>3553</v>
      </c>
    </row>
    <row r="1510" spans="1:7" x14ac:dyDescent="0.2">
      <c r="A1510" s="944">
        <v>39061027000</v>
      </c>
      <c r="B1510" s="239" t="s">
        <v>1528</v>
      </c>
      <c r="C1510" s="286" t="s">
        <v>4330</v>
      </c>
      <c r="D1510" s="865" t="s">
        <v>4330</v>
      </c>
      <c r="E1510" s="287" t="s">
        <v>3564</v>
      </c>
      <c r="F1510" s="287" t="s">
        <v>3559</v>
      </c>
      <c r="G1510" s="288" t="s">
        <v>3553</v>
      </c>
    </row>
    <row r="1511" spans="1:7" x14ac:dyDescent="0.2">
      <c r="A1511" s="944">
        <v>39061027100</v>
      </c>
      <c r="B1511" s="239" t="s">
        <v>1529</v>
      </c>
      <c r="C1511" s="286" t="s">
        <v>4330</v>
      </c>
      <c r="D1511" s="865" t="s">
        <v>4330</v>
      </c>
      <c r="E1511" s="287" t="s">
        <v>3564</v>
      </c>
      <c r="F1511" s="287" t="s">
        <v>5176</v>
      </c>
      <c r="G1511" s="288" t="s">
        <v>3553</v>
      </c>
    </row>
    <row r="1512" spans="1:7" x14ac:dyDescent="0.2">
      <c r="A1512" s="944">
        <v>39061027200</v>
      </c>
      <c r="B1512" s="239" t="s">
        <v>1530</v>
      </c>
      <c r="C1512" s="286" t="s">
        <v>4330</v>
      </c>
      <c r="D1512" s="865" t="s">
        <v>4330</v>
      </c>
      <c r="E1512" s="287" t="s">
        <v>3557</v>
      </c>
      <c r="F1512" s="287" t="s">
        <v>3558</v>
      </c>
      <c r="G1512" s="288" t="s">
        <v>3553</v>
      </c>
    </row>
    <row r="1513" spans="1:7" x14ac:dyDescent="0.2">
      <c r="A1513" s="944">
        <v>39061027300</v>
      </c>
      <c r="B1513" s="239" t="s">
        <v>1531</v>
      </c>
      <c r="C1513" s="286" t="s">
        <v>2975</v>
      </c>
      <c r="D1513" s="865" t="s">
        <v>2975</v>
      </c>
      <c r="E1513" s="287" t="s">
        <v>3562</v>
      </c>
      <c r="F1513" s="287" t="s">
        <v>3559</v>
      </c>
      <c r="G1513" s="288" t="s">
        <v>3569</v>
      </c>
    </row>
    <row r="1514" spans="1:7" x14ac:dyDescent="0.2">
      <c r="A1514" s="944">
        <v>39061027400</v>
      </c>
      <c r="B1514" s="239" t="s">
        <v>1532</v>
      </c>
      <c r="C1514" s="286" t="s">
        <v>4330</v>
      </c>
      <c r="D1514" s="865" t="s">
        <v>4330</v>
      </c>
      <c r="E1514" s="287" t="s">
        <v>3557</v>
      </c>
      <c r="F1514" s="287" t="s">
        <v>5176</v>
      </c>
      <c r="G1514" s="288" t="s">
        <v>3569</v>
      </c>
    </row>
    <row r="1515" spans="1:7" x14ac:dyDescent="0.2">
      <c r="A1515" s="944">
        <v>39063000100</v>
      </c>
      <c r="B1515" s="239" t="s">
        <v>1533</v>
      </c>
      <c r="C1515" s="286" t="s">
        <v>2975</v>
      </c>
      <c r="D1515" s="865" t="s">
        <v>2975</v>
      </c>
      <c r="E1515" s="287" t="s">
        <v>3566</v>
      </c>
      <c r="F1515" s="287" t="s">
        <v>3565</v>
      </c>
      <c r="G1515" s="288" t="s">
        <v>3568</v>
      </c>
    </row>
    <row r="1516" spans="1:7" x14ac:dyDescent="0.2">
      <c r="A1516" s="944">
        <v>39063000200</v>
      </c>
      <c r="B1516" s="239" t="s">
        <v>1534</v>
      </c>
      <c r="C1516" s="286" t="s">
        <v>2975</v>
      </c>
      <c r="D1516" s="865" t="s">
        <v>2975</v>
      </c>
      <c r="E1516" s="287" t="s">
        <v>3562</v>
      </c>
      <c r="F1516" s="287" t="s">
        <v>5176</v>
      </c>
      <c r="G1516" s="288" t="s">
        <v>3568</v>
      </c>
    </row>
    <row r="1517" spans="1:7" x14ac:dyDescent="0.2">
      <c r="A1517" s="944">
        <v>39063000300</v>
      </c>
      <c r="B1517" s="239" t="s">
        <v>1535</v>
      </c>
      <c r="C1517" s="286" t="s">
        <v>2975</v>
      </c>
      <c r="D1517" s="865" t="s">
        <v>2975</v>
      </c>
      <c r="E1517" s="287" t="s">
        <v>3563</v>
      </c>
      <c r="F1517" s="287" t="s">
        <v>3559</v>
      </c>
      <c r="G1517" s="288" t="s">
        <v>3568</v>
      </c>
    </row>
    <row r="1518" spans="1:7" x14ac:dyDescent="0.2">
      <c r="A1518" s="944">
        <v>39063000400</v>
      </c>
      <c r="B1518" s="239" t="s">
        <v>1536</v>
      </c>
      <c r="C1518" s="286" t="s">
        <v>2975</v>
      </c>
      <c r="D1518" s="865" t="s">
        <v>2975</v>
      </c>
      <c r="E1518" s="287" t="s">
        <v>3562</v>
      </c>
      <c r="F1518" s="287" t="s">
        <v>5177</v>
      </c>
      <c r="G1518" s="288" t="s">
        <v>3568</v>
      </c>
    </row>
    <row r="1519" spans="1:7" x14ac:dyDescent="0.2">
      <c r="A1519" s="944">
        <v>39063000500</v>
      </c>
      <c r="B1519" s="239" t="s">
        <v>1537</v>
      </c>
      <c r="C1519" s="286" t="s">
        <v>2975</v>
      </c>
      <c r="D1519" s="865" t="s">
        <v>4330</v>
      </c>
      <c r="E1519" s="287" t="s">
        <v>3564</v>
      </c>
      <c r="F1519" s="287" t="s">
        <v>5177</v>
      </c>
      <c r="G1519" s="288" t="s">
        <v>3568</v>
      </c>
    </row>
    <row r="1520" spans="1:7" x14ac:dyDescent="0.2">
      <c r="A1520" s="944">
        <v>39063000600</v>
      </c>
      <c r="B1520" s="239" t="s">
        <v>1538</v>
      </c>
      <c r="C1520" s="286" t="s">
        <v>2975</v>
      </c>
      <c r="D1520" s="865" t="s">
        <v>2975</v>
      </c>
      <c r="E1520" s="287" t="s">
        <v>3563</v>
      </c>
      <c r="F1520" s="287" t="s">
        <v>3558</v>
      </c>
      <c r="G1520" s="288" t="s">
        <v>3568</v>
      </c>
    </row>
    <row r="1521" spans="1:7" x14ac:dyDescent="0.2">
      <c r="A1521" s="944">
        <v>39063000700</v>
      </c>
      <c r="B1521" s="239" t="s">
        <v>1539</v>
      </c>
      <c r="C1521" s="286" t="s">
        <v>2975</v>
      </c>
      <c r="D1521" s="865" t="s">
        <v>2975</v>
      </c>
      <c r="E1521" s="287" t="s">
        <v>3562</v>
      </c>
      <c r="F1521" s="287" t="s">
        <v>3558</v>
      </c>
      <c r="G1521" s="288" t="s">
        <v>3568</v>
      </c>
    </row>
    <row r="1522" spans="1:7" x14ac:dyDescent="0.2">
      <c r="A1522" s="944">
        <v>39063000800</v>
      </c>
      <c r="B1522" s="239" t="s">
        <v>1540</v>
      </c>
      <c r="C1522" s="286" t="s">
        <v>2975</v>
      </c>
      <c r="D1522" s="865" t="s">
        <v>2975</v>
      </c>
      <c r="E1522" s="287" t="s">
        <v>3563</v>
      </c>
      <c r="F1522" s="287" t="s">
        <v>3565</v>
      </c>
      <c r="G1522" s="288" t="s">
        <v>5175</v>
      </c>
    </row>
    <row r="1523" spans="1:7" x14ac:dyDescent="0.2">
      <c r="A1523" s="944">
        <v>39063000900</v>
      </c>
      <c r="B1523" s="239" t="s">
        <v>1541</v>
      </c>
      <c r="C1523" s="286" t="s">
        <v>4330</v>
      </c>
      <c r="D1523" s="865" t="s">
        <v>4330</v>
      </c>
      <c r="E1523" s="287" t="s">
        <v>3557</v>
      </c>
      <c r="F1523" s="287" t="s">
        <v>3565</v>
      </c>
      <c r="G1523" s="288" t="s">
        <v>5175</v>
      </c>
    </row>
    <row r="1524" spans="1:7" x14ac:dyDescent="0.2">
      <c r="A1524" s="944">
        <v>39063001000</v>
      </c>
      <c r="B1524" s="239" t="s">
        <v>1542</v>
      </c>
      <c r="C1524" s="286" t="s">
        <v>2975</v>
      </c>
      <c r="D1524" s="865" t="s">
        <v>2975</v>
      </c>
      <c r="E1524" s="287" t="s">
        <v>3563</v>
      </c>
      <c r="F1524" s="287" t="s">
        <v>3558</v>
      </c>
      <c r="G1524" s="288" t="s">
        <v>3568</v>
      </c>
    </row>
    <row r="1525" spans="1:7" x14ac:dyDescent="0.2">
      <c r="A1525" s="944">
        <v>39063001100</v>
      </c>
      <c r="B1525" s="239" t="s">
        <v>1543</v>
      </c>
      <c r="C1525" s="286" t="s">
        <v>2975</v>
      </c>
      <c r="D1525" s="865" t="s">
        <v>2975</v>
      </c>
      <c r="E1525" s="287" t="s">
        <v>3563</v>
      </c>
      <c r="F1525" s="287" t="s">
        <v>3558</v>
      </c>
      <c r="G1525" s="288" t="s">
        <v>3568</v>
      </c>
    </row>
    <row r="1526" spans="1:7" x14ac:dyDescent="0.2">
      <c r="A1526" s="944">
        <v>39063001200</v>
      </c>
      <c r="B1526" s="239" t="s">
        <v>1544</v>
      </c>
      <c r="C1526" s="286" t="s">
        <v>2975</v>
      </c>
      <c r="D1526" s="865" t="s">
        <v>2975</v>
      </c>
      <c r="E1526" s="287" t="s">
        <v>3566</v>
      </c>
      <c r="F1526" s="287" t="s">
        <v>3558</v>
      </c>
      <c r="G1526" s="288" t="s">
        <v>3568</v>
      </c>
    </row>
    <row r="1527" spans="1:7" x14ac:dyDescent="0.2">
      <c r="A1527" s="944">
        <v>39063001300</v>
      </c>
      <c r="B1527" s="239" t="s">
        <v>1545</v>
      </c>
      <c r="C1527" s="286" t="s">
        <v>2975</v>
      </c>
      <c r="D1527" s="865" t="s">
        <v>2975</v>
      </c>
      <c r="E1527" s="287" t="s">
        <v>3563</v>
      </c>
      <c r="F1527" s="287" t="s">
        <v>3559</v>
      </c>
      <c r="G1527" s="288" t="s">
        <v>3568</v>
      </c>
    </row>
    <row r="1528" spans="1:7" x14ac:dyDescent="0.2">
      <c r="A1528" s="944">
        <v>39065000100</v>
      </c>
      <c r="B1528" s="239" t="s">
        <v>1546</v>
      </c>
      <c r="C1528" s="286" t="s">
        <v>2975</v>
      </c>
      <c r="D1528" s="865" t="s">
        <v>2975</v>
      </c>
      <c r="E1528" s="287" t="s">
        <v>3564</v>
      </c>
      <c r="F1528" s="287" t="s">
        <v>3559</v>
      </c>
      <c r="G1528" s="288" t="s">
        <v>3568</v>
      </c>
    </row>
    <row r="1529" spans="1:7" x14ac:dyDescent="0.2">
      <c r="A1529" s="944">
        <v>39065000200</v>
      </c>
      <c r="B1529" s="239" t="s">
        <v>1547</v>
      </c>
      <c r="C1529" s="286" t="s">
        <v>2975</v>
      </c>
      <c r="D1529" s="865" t="s">
        <v>2975</v>
      </c>
      <c r="E1529" s="287" t="s">
        <v>3557</v>
      </c>
      <c r="F1529" s="287" t="s">
        <v>3558</v>
      </c>
      <c r="G1529" s="288" t="s">
        <v>3568</v>
      </c>
    </row>
    <row r="1530" spans="1:7" x14ac:dyDescent="0.2">
      <c r="A1530" s="944">
        <v>39065000300</v>
      </c>
      <c r="B1530" s="239" t="s">
        <v>1548</v>
      </c>
      <c r="C1530" s="286" t="s">
        <v>2975</v>
      </c>
      <c r="D1530" s="865" t="s">
        <v>2975</v>
      </c>
      <c r="E1530" s="287" t="s">
        <v>3564</v>
      </c>
      <c r="F1530" s="287" t="s">
        <v>3565</v>
      </c>
      <c r="G1530" s="288" t="s">
        <v>3568</v>
      </c>
    </row>
    <row r="1531" spans="1:7" x14ac:dyDescent="0.2">
      <c r="A1531" s="944">
        <v>39065000400</v>
      </c>
      <c r="B1531" s="239" t="s">
        <v>1549</v>
      </c>
      <c r="C1531" s="286" t="s">
        <v>2975</v>
      </c>
      <c r="D1531" s="865" t="s">
        <v>2975</v>
      </c>
      <c r="E1531" s="287" t="s">
        <v>3563</v>
      </c>
      <c r="F1531" s="287" t="s">
        <v>5177</v>
      </c>
      <c r="G1531" s="288" t="s">
        <v>3568</v>
      </c>
    </row>
    <row r="1532" spans="1:7" x14ac:dyDescent="0.2">
      <c r="A1532" s="944">
        <v>39065000500</v>
      </c>
      <c r="B1532" s="239" t="s">
        <v>1550</v>
      </c>
      <c r="C1532" s="286" t="s">
        <v>2975</v>
      </c>
      <c r="D1532" s="865" t="s">
        <v>2975</v>
      </c>
      <c r="E1532" s="287" t="s">
        <v>3557</v>
      </c>
      <c r="F1532" s="287" t="s">
        <v>3558</v>
      </c>
      <c r="G1532" s="288" t="s">
        <v>3568</v>
      </c>
    </row>
    <row r="1533" spans="1:7" x14ac:dyDescent="0.2">
      <c r="A1533" s="944">
        <v>39065000600</v>
      </c>
      <c r="B1533" s="239" t="s">
        <v>1551</v>
      </c>
      <c r="C1533" s="286" t="s">
        <v>2975</v>
      </c>
      <c r="D1533" s="865" t="s">
        <v>2975</v>
      </c>
      <c r="E1533" s="287" t="s">
        <v>3557</v>
      </c>
      <c r="F1533" s="287" t="s">
        <v>3558</v>
      </c>
      <c r="G1533" s="288" t="s">
        <v>3568</v>
      </c>
    </row>
    <row r="1534" spans="1:7" x14ac:dyDescent="0.2">
      <c r="A1534" s="944">
        <v>39065000700</v>
      </c>
      <c r="B1534" s="239" t="s">
        <v>1552</v>
      </c>
      <c r="C1534" s="286" t="s">
        <v>2975</v>
      </c>
      <c r="D1534" s="865" t="s">
        <v>2975</v>
      </c>
      <c r="E1534" s="287" t="s">
        <v>3564</v>
      </c>
      <c r="F1534" s="287" t="s">
        <v>3559</v>
      </c>
      <c r="G1534" s="288" t="s">
        <v>3568</v>
      </c>
    </row>
    <row r="1535" spans="1:7" x14ac:dyDescent="0.2">
      <c r="A1535" s="944">
        <v>39067975600</v>
      </c>
      <c r="B1535" s="239" t="s">
        <v>1553</v>
      </c>
      <c r="C1535" s="286" t="s">
        <v>2975</v>
      </c>
      <c r="D1535" s="865" t="s">
        <v>2975</v>
      </c>
      <c r="E1535" s="287" t="s">
        <v>3557</v>
      </c>
      <c r="F1535" s="287" t="s">
        <v>5176</v>
      </c>
      <c r="G1535" s="288" t="s">
        <v>3568</v>
      </c>
    </row>
    <row r="1536" spans="1:7" x14ac:dyDescent="0.2">
      <c r="A1536" s="944">
        <v>39067975700</v>
      </c>
      <c r="B1536" s="239" t="s">
        <v>1554</v>
      </c>
      <c r="C1536" s="286" t="s">
        <v>2975</v>
      </c>
      <c r="D1536" s="865" t="s">
        <v>2975</v>
      </c>
      <c r="E1536" s="287" t="s">
        <v>3557</v>
      </c>
      <c r="F1536" s="287" t="s">
        <v>3559</v>
      </c>
      <c r="G1536" s="288" t="s">
        <v>3568</v>
      </c>
    </row>
    <row r="1537" spans="1:7" x14ac:dyDescent="0.2">
      <c r="A1537" s="944">
        <v>39067975800</v>
      </c>
      <c r="B1537" s="239" t="s">
        <v>1555</v>
      </c>
      <c r="C1537" s="286" t="s">
        <v>2975</v>
      </c>
      <c r="D1537" s="865" t="s">
        <v>2975</v>
      </c>
      <c r="E1537" s="287" t="s">
        <v>3557</v>
      </c>
      <c r="F1537" s="287" t="s">
        <v>5177</v>
      </c>
      <c r="G1537" s="288" t="s">
        <v>3568</v>
      </c>
    </row>
    <row r="1538" spans="1:7" x14ac:dyDescent="0.2">
      <c r="A1538" s="944">
        <v>39067975900</v>
      </c>
      <c r="B1538" s="239" t="s">
        <v>1556</v>
      </c>
      <c r="C1538" s="286" t="s">
        <v>2975</v>
      </c>
      <c r="D1538" s="865" t="s">
        <v>2975</v>
      </c>
      <c r="E1538" s="287" t="s">
        <v>3564</v>
      </c>
      <c r="F1538" s="287" t="s">
        <v>3559</v>
      </c>
      <c r="G1538" s="288" t="s">
        <v>3568</v>
      </c>
    </row>
    <row r="1539" spans="1:7" x14ac:dyDescent="0.2">
      <c r="A1539" s="944">
        <v>39067976000</v>
      </c>
      <c r="B1539" s="239" t="s">
        <v>1557</v>
      </c>
      <c r="C1539" s="286" t="s">
        <v>2975</v>
      </c>
      <c r="D1539" s="865" t="s">
        <v>2975</v>
      </c>
      <c r="E1539" s="287" t="s">
        <v>3557</v>
      </c>
      <c r="F1539" s="287" t="s">
        <v>3565</v>
      </c>
      <c r="G1539" s="288" t="s">
        <v>3568</v>
      </c>
    </row>
    <row r="1540" spans="1:7" x14ac:dyDescent="0.2">
      <c r="A1540" s="944">
        <v>39069000100</v>
      </c>
      <c r="B1540" s="239" t="s">
        <v>1558</v>
      </c>
      <c r="C1540" s="286" t="s">
        <v>2975</v>
      </c>
      <c r="D1540" s="865" t="s">
        <v>2975</v>
      </c>
      <c r="E1540" s="287" t="s">
        <v>3563</v>
      </c>
      <c r="F1540" s="287" t="s">
        <v>3558</v>
      </c>
      <c r="G1540" s="288" t="s">
        <v>3568</v>
      </c>
    </row>
    <row r="1541" spans="1:7" x14ac:dyDescent="0.2">
      <c r="A1541" s="944">
        <v>39069000200</v>
      </c>
      <c r="B1541" s="239" t="s">
        <v>1559</v>
      </c>
      <c r="C1541" s="286" t="s">
        <v>2975</v>
      </c>
      <c r="D1541" s="865" t="s">
        <v>2975</v>
      </c>
      <c r="E1541" s="287" t="s">
        <v>3562</v>
      </c>
      <c r="F1541" s="287" t="s">
        <v>5177</v>
      </c>
      <c r="G1541" s="288" t="s">
        <v>3568</v>
      </c>
    </row>
    <row r="1542" spans="1:7" x14ac:dyDescent="0.2">
      <c r="A1542" s="944">
        <v>39069000300</v>
      </c>
      <c r="B1542" s="239" t="s">
        <v>1560</v>
      </c>
      <c r="C1542" s="286" t="s">
        <v>2975</v>
      </c>
      <c r="D1542" s="865" t="s">
        <v>2975</v>
      </c>
      <c r="E1542" s="287" t="s">
        <v>3563</v>
      </c>
      <c r="F1542" s="287" t="s">
        <v>5176</v>
      </c>
      <c r="G1542" s="288" t="s">
        <v>3568</v>
      </c>
    </row>
    <row r="1543" spans="1:7" x14ac:dyDescent="0.2">
      <c r="A1543" s="944">
        <v>39069000400</v>
      </c>
      <c r="B1543" s="239" t="s">
        <v>1561</v>
      </c>
      <c r="C1543" s="286" t="s">
        <v>2975</v>
      </c>
      <c r="D1543" s="865" t="s">
        <v>2975</v>
      </c>
      <c r="E1543" s="287" t="s">
        <v>3563</v>
      </c>
      <c r="F1543" s="287" t="s">
        <v>5176</v>
      </c>
      <c r="G1543" s="288" t="s">
        <v>3568</v>
      </c>
    </row>
    <row r="1544" spans="1:7" x14ac:dyDescent="0.2">
      <c r="A1544" s="944">
        <v>39069000500</v>
      </c>
      <c r="B1544" s="239" t="s">
        <v>1562</v>
      </c>
      <c r="C1544" s="286" t="s">
        <v>2975</v>
      </c>
      <c r="D1544" s="865" t="s">
        <v>2975</v>
      </c>
      <c r="E1544" s="287" t="s">
        <v>3563</v>
      </c>
      <c r="F1544" s="287" t="s">
        <v>3559</v>
      </c>
      <c r="G1544" s="288" t="s">
        <v>3568</v>
      </c>
    </row>
    <row r="1545" spans="1:7" x14ac:dyDescent="0.2">
      <c r="A1545" s="944">
        <v>39069000600</v>
      </c>
      <c r="B1545" s="239" t="s">
        <v>1563</v>
      </c>
      <c r="C1545" s="286" t="s">
        <v>2975</v>
      </c>
      <c r="D1545" s="865" t="s">
        <v>2975</v>
      </c>
      <c r="E1545" s="287" t="s">
        <v>3566</v>
      </c>
      <c r="F1545" s="287" t="s">
        <v>3565</v>
      </c>
      <c r="G1545" s="288" t="s">
        <v>3568</v>
      </c>
    </row>
    <row r="1546" spans="1:7" x14ac:dyDescent="0.2">
      <c r="A1546" s="944">
        <v>39069000700</v>
      </c>
      <c r="B1546" s="239" t="s">
        <v>1564</v>
      </c>
      <c r="C1546" s="286" t="s">
        <v>2975</v>
      </c>
      <c r="D1546" s="865" t="s">
        <v>2975</v>
      </c>
      <c r="E1546" s="287" t="s">
        <v>3562</v>
      </c>
      <c r="F1546" s="287" t="s">
        <v>3558</v>
      </c>
      <c r="G1546" s="288" t="s">
        <v>3568</v>
      </c>
    </row>
    <row r="1547" spans="1:7" x14ac:dyDescent="0.2">
      <c r="A1547" s="944">
        <v>39071954400</v>
      </c>
      <c r="B1547" s="239" t="s">
        <v>1565</v>
      </c>
      <c r="C1547" s="286" t="s">
        <v>2975</v>
      </c>
      <c r="D1547" s="865" t="s">
        <v>4330</v>
      </c>
      <c r="E1547" s="287" t="s">
        <v>3557</v>
      </c>
      <c r="F1547" s="287" t="s">
        <v>3559</v>
      </c>
      <c r="G1547" s="288" t="s">
        <v>3568</v>
      </c>
    </row>
    <row r="1548" spans="1:7" x14ac:dyDescent="0.2">
      <c r="A1548" s="944">
        <v>39071954500</v>
      </c>
      <c r="B1548" s="239" t="s">
        <v>1566</v>
      </c>
      <c r="C1548" s="286" t="s">
        <v>4330</v>
      </c>
      <c r="D1548" s="865" t="s">
        <v>4330</v>
      </c>
      <c r="E1548" s="287" t="s">
        <v>3557</v>
      </c>
      <c r="F1548" s="287" t="s">
        <v>3558</v>
      </c>
      <c r="G1548" s="288" t="s">
        <v>3568</v>
      </c>
    </row>
    <row r="1549" spans="1:7" x14ac:dyDescent="0.2">
      <c r="A1549" s="944">
        <v>39071954600</v>
      </c>
      <c r="B1549" s="239" t="s">
        <v>1567</v>
      </c>
      <c r="C1549" s="286" t="s">
        <v>2975</v>
      </c>
      <c r="D1549" s="865" t="s">
        <v>2975</v>
      </c>
      <c r="E1549" s="287" t="s">
        <v>3566</v>
      </c>
      <c r="F1549" s="287" t="s">
        <v>3559</v>
      </c>
      <c r="G1549" s="288" t="s">
        <v>3568</v>
      </c>
    </row>
    <row r="1550" spans="1:7" x14ac:dyDescent="0.2">
      <c r="A1550" s="944">
        <v>39071954700</v>
      </c>
      <c r="B1550" s="239" t="s">
        <v>1568</v>
      </c>
      <c r="C1550" s="286" t="s">
        <v>4330</v>
      </c>
      <c r="D1550" s="865" t="s">
        <v>4330</v>
      </c>
      <c r="E1550" s="287" t="s">
        <v>3566</v>
      </c>
      <c r="F1550" s="287" t="s">
        <v>3558</v>
      </c>
      <c r="G1550" s="288" t="s">
        <v>3568</v>
      </c>
    </row>
    <row r="1551" spans="1:7" x14ac:dyDescent="0.2">
      <c r="A1551" s="944">
        <v>39071954800</v>
      </c>
      <c r="B1551" s="239" t="s">
        <v>1569</v>
      </c>
      <c r="C1551" s="286" t="s">
        <v>2975</v>
      </c>
      <c r="D1551" s="865" t="s">
        <v>2975</v>
      </c>
      <c r="E1551" s="287" t="s">
        <v>3564</v>
      </c>
      <c r="F1551" s="287" t="s">
        <v>5176</v>
      </c>
      <c r="G1551" s="288" t="s">
        <v>3568</v>
      </c>
    </row>
    <row r="1552" spans="1:7" x14ac:dyDescent="0.2">
      <c r="A1552" s="944">
        <v>39071954900</v>
      </c>
      <c r="B1552" s="239" t="s">
        <v>1570</v>
      </c>
      <c r="C1552" s="286" t="s">
        <v>2975</v>
      </c>
      <c r="D1552" s="865" t="s">
        <v>2975</v>
      </c>
      <c r="E1552" s="287" t="s">
        <v>3566</v>
      </c>
      <c r="F1552" s="287" t="s">
        <v>5177</v>
      </c>
      <c r="G1552" s="288" t="s">
        <v>3568</v>
      </c>
    </row>
    <row r="1553" spans="1:7" x14ac:dyDescent="0.2">
      <c r="A1553" s="944">
        <v>39071955000</v>
      </c>
      <c r="B1553" s="239" t="s">
        <v>1571</v>
      </c>
      <c r="C1553" s="286" t="s">
        <v>4330</v>
      </c>
      <c r="D1553" s="865" t="s">
        <v>4330</v>
      </c>
      <c r="E1553" s="287" t="s">
        <v>3557</v>
      </c>
      <c r="F1553" s="287" t="s">
        <v>5176</v>
      </c>
      <c r="G1553" s="288" t="s">
        <v>3568</v>
      </c>
    </row>
    <row r="1554" spans="1:7" x14ac:dyDescent="0.2">
      <c r="A1554" s="944">
        <v>39071955100</v>
      </c>
      <c r="B1554" s="239" t="s">
        <v>1572</v>
      </c>
      <c r="C1554" s="286" t="s">
        <v>2975</v>
      </c>
      <c r="D1554" s="865" t="s">
        <v>2975</v>
      </c>
      <c r="E1554" s="287" t="s">
        <v>3564</v>
      </c>
      <c r="F1554" s="287" t="s">
        <v>5176</v>
      </c>
      <c r="G1554" s="288" t="s">
        <v>3568</v>
      </c>
    </row>
    <row r="1555" spans="1:7" x14ac:dyDescent="0.2">
      <c r="A1555" s="944">
        <v>39071955200</v>
      </c>
      <c r="B1555" s="239" t="s">
        <v>1573</v>
      </c>
      <c r="C1555" s="286" t="s">
        <v>2975</v>
      </c>
      <c r="D1555" s="865" t="s">
        <v>2975</v>
      </c>
      <c r="E1555" s="287" t="s">
        <v>3564</v>
      </c>
      <c r="F1555" s="287" t="s">
        <v>3558</v>
      </c>
      <c r="G1555" s="288" t="s">
        <v>3568</v>
      </c>
    </row>
    <row r="1556" spans="1:7" x14ac:dyDescent="0.2">
      <c r="A1556" s="944">
        <v>39073964900</v>
      </c>
      <c r="B1556" s="239" t="s">
        <v>1574</v>
      </c>
      <c r="C1556" s="286" t="s">
        <v>2975</v>
      </c>
      <c r="D1556" s="865" t="s">
        <v>2975</v>
      </c>
      <c r="E1556" s="287" t="s">
        <v>3564</v>
      </c>
      <c r="F1556" s="287" t="s">
        <v>3565</v>
      </c>
      <c r="G1556" s="288" t="s">
        <v>3568</v>
      </c>
    </row>
    <row r="1557" spans="1:7" x14ac:dyDescent="0.2">
      <c r="A1557" s="944">
        <v>39073965000</v>
      </c>
      <c r="B1557" s="239" t="s">
        <v>1575</v>
      </c>
      <c r="C1557" s="286" t="s">
        <v>2975</v>
      </c>
      <c r="D1557" s="865" t="s">
        <v>2975</v>
      </c>
      <c r="E1557" s="287" t="s">
        <v>3557</v>
      </c>
      <c r="F1557" s="287" t="s">
        <v>5176</v>
      </c>
      <c r="G1557" s="288" t="s">
        <v>3568</v>
      </c>
    </row>
    <row r="1558" spans="1:7" x14ac:dyDescent="0.2">
      <c r="A1558" s="944">
        <v>39073965100</v>
      </c>
      <c r="B1558" s="239" t="s">
        <v>1576</v>
      </c>
      <c r="C1558" s="286" t="s">
        <v>2975</v>
      </c>
      <c r="D1558" s="865" t="s">
        <v>2975</v>
      </c>
      <c r="E1558" s="287" t="s">
        <v>3564</v>
      </c>
      <c r="F1558" s="287" t="s">
        <v>3558</v>
      </c>
      <c r="G1558" s="288" t="s">
        <v>3568</v>
      </c>
    </row>
    <row r="1559" spans="1:7" x14ac:dyDescent="0.2">
      <c r="A1559" s="944">
        <v>39073965200</v>
      </c>
      <c r="B1559" s="239" t="s">
        <v>1577</v>
      </c>
      <c r="C1559" s="286" t="s">
        <v>2975</v>
      </c>
      <c r="D1559" s="865" t="s">
        <v>2975</v>
      </c>
      <c r="E1559" s="287" t="s">
        <v>3564</v>
      </c>
      <c r="F1559" s="287" t="s">
        <v>3559</v>
      </c>
      <c r="G1559" s="288" t="s">
        <v>3568</v>
      </c>
    </row>
    <row r="1560" spans="1:7" x14ac:dyDescent="0.2">
      <c r="A1560" s="944">
        <v>39073965300</v>
      </c>
      <c r="B1560" s="239" t="s">
        <v>1578</v>
      </c>
      <c r="C1560" s="286" t="s">
        <v>2975</v>
      </c>
      <c r="D1560" s="865" t="s">
        <v>2975</v>
      </c>
      <c r="E1560" s="287" t="s">
        <v>3557</v>
      </c>
      <c r="F1560" s="287" t="s">
        <v>3559</v>
      </c>
      <c r="G1560" s="288" t="s">
        <v>3568</v>
      </c>
    </row>
    <row r="1561" spans="1:7" x14ac:dyDescent="0.2">
      <c r="A1561" s="944">
        <v>39073965400</v>
      </c>
      <c r="B1561" s="239" t="s">
        <v>1579</v>
      </c>
      <c r="C1561" s="286" t="s">
        <v>2975</v>
      </c>
      <c r="D1561" s="865" t="s">
        <v>2975</v>
      </c>
      <c r="E1561" s="287" t="s">
        <v>3557</v>
      </c>
      <c r="F1561" s="287" t="s">
        <v>3558</v>
      </c>
      <c r="G1561" s="288" t="s">
        <v>3568</v>
      </c>
    </row>
    <row r="1562" spans="1:7" x14ac:dyDescent="0.2">
      <c r="A1562" s="944">
        <v>39073965500</v>
      </c>
      <c r="B1562" s="239" t="s">
        <v>1580</v>
      </c>
      <c r="C1562" s="286" t="s">
        <v>2975</v>
      </c>
      <c r="D1562" s="865" t="s">
        <v>2975</v>
      </c>
      <c r="E1562" s="287" t="s">
        <v>3557</v>
      </c>
      <c r="F1562" s="287" t="s">
        <v>5177</v>
      </c>
      <c r="G1562" s="288" t="s">
        <v>3568</v>
      </c>
    </row>
    <row r="1563" spans="1:7" x14ac:dyDescent="0.2">
      <c r="A1563" s="944">
        <v>39075976301</v>
      </c>
      <c r="B1563" s="239" t="s">
        <v>1581</v>
      </c>
      <c r="C1563" s="286" t="s">
        <v>2975</v>
      </c>
      <c r="D1563" s="865" t="s">
        <v>2975</v>
      </c>
      <c r="E1563" s="287" t="s">
        <v>3562</v>
      </c>
      <c r="F1563" s="287" t="s">
        <v>5177</v>
      </c>
      <c r="G1563" s="288" t="s">
        <v>3568</v>
      </c>
    </row>
    <row r="1564" spans="1:7" x14ac:dyDescent="0.2">
      <c r="A1564" s="944">
        <v>39075976302</v>
      </c>
      <c r="B1564" s="239" t="s">
        <v>1582</v>
      </c>
      <c r="C1564" s="286" t="s">
        <v>2975</v>
      </c>
      <c r="D1564" s="865" t="s">
        <v>2975</v>
      </c>
      <c r="E1564" s="287" t="s">
        <v>3562</v>
      </c>
      <c r="F1564" s="287" t="s">
        <v>5177</v>
      </c>
      <c r="G1564" s="288" t="s">
        <v>3568</v>
      </c>
    </row>
    <row r="1565" spans="1:7" x14ac:dyDescent="0.2">
      <c r="A1565" s="944">
        <v>39075976400</v>
      </c>
      <c r="B1565" s="239" t="s">
        <v>1583</v>
      </c>
      <c r="C1565" s="286" t="s">
        <v>2975</v>
      </c>
      <c r="D1565" s="865" t="s">
        <v>2975</v>
      </c>
      <c r="E1565" s="287" t="s">
        <v>3563</v>
      </c>
      <c r="F1565" s="287" t="s">
        <v>5177</v>
      </c>
      <c r="G1565" s="288" t="s">
        <v>3568</v>
      </c>
    </row>
    <row r="1566" spans="1:7" x14ac:dyDescent="0.2">
      <c r="A1566" s="944">
        <v>39075976500</v>
      </c>
      <c r="B1566" s="239" t="s">
        <v>1584</v>
      </c>
      <c r="C1566" s="286" t="s">
        <v>2975</v>
      </c>
      <c r="D1566" s="865" t="s">
        <v>2975</v>
      </c>
      <c r="E1566" s="287" t="s">
        <v>3564</v>
      </c>
      <c r="F1566" s="287" t="s">
        <v>3558</v>
      </c>
      <c r="G1566" s="288" t="s">
        <v>3568</v>
      </c>
    </row>
    <row r="1567" spans="1:7" x14ac:dyDescent="0.2">
      <c r="A1567" s="944">
        <v>39075976600</v>
      </c>
      <c r="B1567" s="239" t="s">
        <v>1585</v>
      </c>
      <c r="C1567" s="286" t="s">
        <v>2975</v>
      </c>
      <c r="D1567" s="865" t="s">
        <v>2975</v>
      </c>
      <c r="E1567" s="287" t="s">
        <v>3564</v>
      </c>
      <c r="F1567" s="287" t="s">
        <v>3565</v>
      </c>
      <c r="G1567" s="288" t="s">
        <v>3568</v>
      </c>
    </row>
    <row r="1568" spans="1:7" x14ac:dyDescent="0.2">
      <c r="A1568" s="944">
        <v>39075976700</v>
      </c>
      <c r="B1568" s="239" t="s">
        <v>1586</v>
      </c>
      <c r="C1568" s="286" t="s">
        <v>2975</v>
      </c>
      <c r="D1568" s="865" t="s">
        <v>2975</v>
      </c>
      <c r="E1568" s="287" t="s">
        <v>3566</v>
      </c>
      <c r="F1568" s="287" t="s">
        <v>5177</v>
      </c>
      <c r="G1568" s="288" t="s">
        <v>3568</v>
      </c>
    </row>
    <row r="1569" spans="1:7" x14ac:dyDescent="0.2">
      <c r="A1569" s="944">
        <v>39075976801</v>
      </c>
      <c r="B1569" s="239" t="s">
        <v>1587</v>
      </c>
      <c r="C1569" s="286" t="s">
        <v>2975</v>
      </c>
      <c r="D1569" s="865" t="s">
        <v>2975</v>
      </c>
      <c r="E1569" s="287" t="s">
        <v>3563</v>
      </c>
      <c r="F1569" s="287" t="s">
        <v>5177</v>
      </c>
      <c r="G1569" s="288" t="s">
        <v>3568</v>
      </c>
    </row>
    <row r="1570" spans="1:7" x14ac:dyDescent="0.2">
      <c r="A1570" s="944">
        <v>39075976802</v>
      </c>
      <c r="B1570" s="239" t="s">
        <v>1588</v>
      </c>
      <c r="C1570" s="286" t="s">
        <v>2975</v>
      </c>
      <c r="D1570" s="865" t="s">
        <v>2975</v>
      </c>
      <c r="E1570" s="287" t="s">
        <v>3563</v>
      </c>
      <c r="F1570" s="287" t="s">
        <v>3559</v>
      </c>
      <c r="G1570" s="288" t="s">
        <v>3568</v>
      </c>
    </row>
    <row r="1571" spans="1:7" x14ac:dyDescent="0.2">
      <c r="A1571" s="944">
        <v>39077915400</v>
      </c>
      <c r="B1571" s="239" t="s">
        <v>1589</v>
      </c>
      <c r="C1571" s="286" t="s">
        <v>2975</v>
      </c>
      <c r="D1571" s="865" t="s">
        <v>2975</v>
      </c>
      <c r="E1571" s="287" t="s">
        <v>3566</v>
      </c>
      <c r="F1571" s="287" t="s">
        <v>3565</v>
      </c>
      <c r="G1571" s="288" t="s">
        <v>3568</v>
      </c>
    </row>
    <row r="1572" spans="1:7" x14ac:dyDescent="0.2">
      <c r="A1572" s="944">
        <v>39077915500</v>
      </c>
      <c r="B1572" s="239" t="s">
        <v>1590</v>
      </c>
      <c r="C1572" s="286" t="s">
        <v>2975</v>
      </c>
      <c r="D1572" s="865" t="s">
        <v>2975</v>
      </c>
      <c r="E1572" s="287" t="s">
        <v>3566</v>
      </c>
      <c r="F1572" s="287" t="s">
        <v>3558</v>
      </c>
      <c r="G1572" s="288" t="s">
        <v>3568</v>
      </c>
    </row>
    <row r="1573" spans="1:7" x14ac:dyDescent="0.2">
      <c r="A1573" s="944">
        <v>39077915600</v>
      </c>
      <c r="B1573" s="239" t="s">
        <v>1591</v>
      </c>
      <c r="C1573" s="286" t="s">
        <v>2975</v>
      </c>
      <c r="D1573" s="865" t="s">
        <v>2975</v>
      </c>
      <c r="E1573" s="287" t="s">
        <v>3563</v>
      </c>
      <c r="F1573" s="287" t="s">
        <v>3558</v>
      </c>
      <c r="G1573" s="288" t="s">
        <v>3568</v>
      </c>
    </row>
    <row r="1574" spans="1:7" x14ac:dyDescent="0.2">
      <c r="A1574" s="944">
        <v>39077915700</v>
      </c>
      <c r="B1574" s="239" t="s">
        <v>1592</v>
      </c>
      <c r="C1574" s="286" t="s">
        <v>2975</v>
      </c>
      <c r="D1574" s="865" t="s">
        <v>2975</v>
      </c>
      <c r="E1574" s="287" t="s">
        <v>3557</v>
      </c>
      <c r="F1574" s="287" t="s">
        <v>5176</v>
      </c>
      <c r="G1574" s="288" t="s">
        <v>3568</v>
      </c>
    </row>
    <row r="1575" spans="1:7" x14ac:dyDescent="0.2">
      <c r="A1575" s="944">
        <v>39077915800</v>
      </c>
      <c r="B1575" s="239" t="s">
        <v>1593</v>
      </c>
      <c r="C1575" s="286" t="s">
        <v>2975</v>
      </c>
      <c r="D1575" s="865" t="s">
        <v>2975</v>
      </c>
      <c r="E1575" s="287" t="s">
        <v>3557</v>
      </c>
      <c r="F1575" s="287" t="s">
        <v>3565</v>
      </c>
      <c r="G1575" s="288" t="s">
        <v>3568</v>
      </c>
    </row>
    <row r="1576" spans="1:7" x14ac:dyDescent="0.2">
      <c r="A1576" s="944">
        <v>39077915900</v>
      </c>
      <c r="B1576" s="239" t="s">
        <v>1594</v>
      </c>
      <c r="C1576" s="286" t="s">
        <v>2975</v>
      </c>
      <c r="D1576" s="865" t="s">
        <v>2975</v>
      </c>
      <c r="E1576" s="287" t="s">
        <v>3566</v>
      </c>
      <c r="F1576" s="287" t="s">
        <v>3565</v>
      </c>
      <c r="G1576" s="288" t="s">
        <v>3568</v>
      </c>
    </row>
    <row r="1577" spans="1:7" x14ac:dyDescent="0.2">
      <c r="A1577" s="944">
        <v>39077916000</v>
      </c>
      <c r="B1577" s="239" t="s">
        <v>1595</v>
      </c>
      <c r="C1577" s="286" t="s">
        <v>2975</v>
      </c>
      <c r="D1577" s="865" t="s">
        <v>2975</v>
      </c>
      <c r="E1577" s="287" t="s">
        <v>3566</v>
      </c>
      <c r="F1577" s="287" t="s">
        <v>3565</v>
      </c>
      <c r="G1577" s="288" t="s">
        <v>3568</v>
      </c>
    </row>
    <row r="1578" spans="1:7" x14ac:dyDescent="0.2">
      <c r="A1578" s="944">
        <v>39077916100</v>
      </c>
      <c r="B1578" s="239" t="s">
        <v>1596</v>
      </c>
      <c r="C1578" s="286" t="s">
        <v>2975</v>
      </c>
      <c r="D1578" s="865" t="s">
        <v>2975</v>
      </c>
      <c r="E1578" s="287" t="s">
        <v>3564</v>
      </c>
      <c r="F1578" s="287" t="s">
        <v>3565</v>
      </c>
      <c r="G1578" s="288" t="s">
        <v>3568</v>
      </c>
    </row>
    <row r="1579" spans="1:7" x14ac:dyDescent="0.2">
      <c r="A1579" s="944">
        <v>39077916200</v>
      </c>
      <c r="B1579" s="239" t="s">
        <v>1597</v>
      </c>
      <c r="C1579" s="286" t="s">
        <v>2975</v>
      </c>
      <c r="D1579" s="865" t="s">
        <v>2975</v>
      </c>
      <c r="E1579" s="287" t="s">
        <v>3557</v>
      </c>
      <c r="F1579" s="287" t="s">
        <v>3559</v>
      </c>
      <c r="G1579" s="288" t="s">
        <v>3568</v>
      </c>
    </row>
    <row r="1580" spans="1:7" x14ac:dyDescent="0.2">
      <c r="A1580" s="944">
        <v>39077916300</v>
      </c>
      <c r="B1580" s="239" t="s">
        <v>1598</v>
      </c>
      <c r="C1580" s="286" t="s">
        <v>2975</v>
      </c>
      <c r="D1580" s="865" t="s">
        <v>2975</v>
      </c>
      <c r="E1580" s="287" t="s">
        <v>3557</v>
      </c>
      <c r="F1580" s="287" t="s">
        <v>5176</v>
      </c>
      <c r="G1580" s="288" t="s">
        <v>3568</v>
      </c>
    </row>
    <row r="1581" spans="1:7" x14ac:dyDescent="0.2">
      <c r="A1581" s="944">
        <v>39077916400</v>
      </c>
      <c r="B1581" s="239" t="s">
        <v>1599</v>
      </c>
      <c r="C1581" s="286" t="s">
        <v>2975</v>
      </c>
      <c r="D1581" s="865" t="s">
        <v>2975</v>
      </c>
      <c r="E1581" s="287" t="s">
        <v>3564</v>
      </c>
      <c r="F1581" s="287" t="s">
        <v>3558</v>
      </c>
      <c r="G1581" s="288" t="s">
        <v>3568</v>
      </c>
    </row>
    <row r="1582" spans="1:7" x14ac:dyDescent="0.2">
      <c r="A1582" s="944">
        <v>39077916500</v>
      </c>
      <c r="B1582" s="239" t="s">
        <v>1600</v>
      </c>
      <c r="C1582" s="286" t="s">
        <v>2975</v>
      </c>
      <c r="D1582" s="865" t="s">
        <v>2975</v>
      </c>
      <c r="E1582" s="287" t="s">
        <v>3566</v>
      </c>
      <c r="F1582" s="287" t="s">
        <v>3558</v>
      </c>
      <c r="G1582" s="288" t="s">
        <v>3568</v>
      </c>
    </row>
    <row r="1583" spans="1:7" x14ac:dyDescent="0.2">
      <c r="A1583" s="944">
        <v>39077916600</v>
      </c>
      <c r="B1583" s="239" t="s">
        <v>1601</v>
      </c>
      <c r="C1583" s="286" t="s">
        <v>2975</v>
      </c>
      <c r="D1583" s="865" t="s">
        <v>2975</v>
      </c>
      <c r="E1583" s="287" t="s">
        <v>3564</v>
      </c>
      <c r="F1583" s="287" t="s">
        <v>5176</v>
      </c>
      <c r="G1583" s="288" t="s">
        <v>3568</v>
      </c>
    </row>
    <row r="1584" spans="1:7" x14ac:dyDescent="0.2">
      <c r="A1584" s="944">
        <v>39079957200</v>
      </c>
      <c r="B1584" s="239" t="s">
        <v>1602</v>
      </c>
      <c r="C1584" s="286" t="s">
        <v>4330</v>
      </c>
      <c r="D1584" s="865" t="s">
        <v>4330</v>
      </c>
      <c r="E1584" s="287" t="s">
        <v>3557</v>
      </c>
      <c r="F1584" s="287" t="s">
        <v>3565</v>
      </c>
      <c r="G1584" s="288" t="s">
        <v>3568</v>
      </c>
    </row>
    <row r="1585" spans="1:7" x14ac:dyDescent="0.2">
      <c r="A1585" s="944">
        <v>39079957300</v>
      </c>
      <c r="B1585" s="239" t="s">
        <v>1603</v>
      </c>
      <c r="C1585" s="286" t="s">
        <v>2975</v>
      </c>
      <c r="D1585" s="865" t="s">
        <v>2975</v>
      </c>
      <c r="E1585" s="287" t="s">
        <v>3557</v>
      </c>
      <c r="F1585" s="287" t="s">
        <v>3558</v>
      </c>
      <c r="G1585" s="288" t="s">
        <v>3568</v>
      </c>
    </row>
    <row r="1586" spans="1:7" x14ac:dyDescent="0.2">
      <c r="A1586" s="944">
        <v>39079957400</v>
      </c>
      <c r="B1586" s="239" t="s">
        <v>1604</v>
      </c>
      <c r="C1586" s="286" t="s">
        <v>4330</v>
      </c>
      <c r="D1586" s="865" t="s">
        <v>4330</v>
      </c>
      <c r="E1586" s="287" t="s">
        <v>3557</v>
      </c>
      <c r="F1586" s="287" t="s">
        <v>3558</v>
      </c>
      <c r="G1586" s="288" t="s">
        <v>3568</v>
      </c>
    </row>
    <row r="1587" spans="1:7" x14ac:dyDescent="0.2">
      <c r="A1587" s="944">
        <v>39079957500</v>
      </c>
      <c r="B1587" s="239" t="s">
        <v>1605</v>
      </c>
      <c r="C1587" s="286" t="s">
        <v>2975</v>
      </c>
      <c r="D1587" s="865" t="s">
        <v>2975</v>
      </c>
      <c r="E1587" s="287" t="s">
        <v>3564</v>
      </c>
      <c r="F1587" s="287" t="s">
        <v>3565</v>
      </c>
      <c r="G1587" s="288" t="s">
        <v>3568</v>
      </c>
    </row>
    <row r="1588" spans="1:7" x14ac:dyDescent="0.2">
      <c r="A1588" s="944">
        <v>39079957600</v>
      </c>
      <c r="B1588" s="239" t="s">
        <v>1606</v>
      </c>
      <c r="C1588" s="286" t="s">
        <v>2975</v>
      </c>
      <c r="D1588" s="865" t="s">
        <v>2975</v>
      </c>
      <c r="E1588" s="287" t="s">
        <v>3564</v>
      </c>
      <c r="F1588" s="287" t="s">
        <v>3565</v>
      </c>
      <c r="G1588" s="288" t="s">
        <v>3568</v>
      </c>
    </row>
    <row r="1589" spans="1:7" x14ac:dyDescent="0.2">
      <c r="A1589" s="944">
        <v>39079957700</v>
      </c>
      <c r="B1589" s="239" t="s">
        <v>1607</v>
      </c>
      <c r="C1589" s="286" t="s">
        <v>2975</v>
      </c>
      <c r="D1589" s="865" t="s">
        <v>2975</v>
      </c>
      <c r="E1589" s="287" t="s">
        <v>3564</v>
      </c>
      <c r="F1589" s="287" t="s">
        <v>3558</v>
      </c>
      <c r="G1589" s="288" t="s">
        <v>3568</v>
      </c>
    </row>
    <row r="1590" spans="1:7" x14ac:dyDescent="0.2">
      <c r="A1590" s="944">
        <v>39079957800</v>
      </c>
      <c r="B1590" s="239" t="s">
        <v>1608</v>
      </c>
      <c r="C1590" s="286" t="s">
        <v>2975</v>
      </c>
      <c r="D1590" s="865" t="s">
        <v>2975</v>
      </c>
      <c r="E1590" s="287" t="s">
        <v>3557</v>
      </c>
      <c r="F1590" s="287" t="s">
        <v>3565</v>
      </c>
      <c r="G1590" s="288" t="s">
        <v>3568</v>
      </c>
    </row>
    <row r="1591" spans="1:7" x14ac:dyDescent="0.2">
      <c r="A1591" s="944">
        <v>39081000200</v>
      </c>
      <c r="B1591" s="239" t="s">
        <v>1609</v>
      </c>
      <c r="C1591" s="286" t="s">
        <v>4330</v>
      </c>
      <c r="D1591" s="865" t="s">
        <v>4330</v>
      </c>
      <c r="E1591" s="287" t="s">
        <v>3563</v>
      </c>
      <c r="F1591" s="287" t="s">
        <v>5176</v>
      </c>
      <c r="G1591" s="288" t="s">
        <v>3553</v>
      </c>
    </row>
    <row r="1592" spans="1:7" x14ac:dyDescent="0.2">
      <c r="A1592" s="944">
        <v>39081000400</v>
      </c>
      <c r="B1592" s="239" t="s">
        <v>1610</v>
      </c>
      <c r="C1592" s="286" t="s">
        <v>4330</v>
      </c>
      <c r="D1592" s="865" t="s">
        <v>4330</v>
      </c>
      <c r="E1592" s="287" t="s">
        <v>3563</v>
      </c>
      <c r="F1592" s="287" t="s">
        <v>3558</v>
      </c>
      <c r="G1592" s="288" t="s">
        <v>3553</v>
      </c>
    </row>
    <row r="1593" spans="1:7" x14ac:dyDescent="0.2">
      <c r="A1593" s="944">
        <v>39081000600</v>
      </c>
      <c r="B1593" s="239" t="s">
        <v>1611</v>
      </c>
      <c r="C1593" s="286" t="s">
        <v>2975</v>
      </c>
      <c r="D1593" s="865" t="s">
        <v>2975</v>
      </c>
      <c r="E1593" s="287" t="s">
        <v>3566</v>
      </c>
      <c r="F1593" s="287" t="s">
        <v>5176</v>
      </c>
      <c r="G1593" s="288" t="s">
        <v>3569</v>
      </c>
    </row>
    <row r="1594" spans="1:7" x14ac:dyDescent="0.2">
      <c r="A1594" s="944">
        <v>39081000800</v>
      </c>
      <c r="B1594" s="239" t="s">
        <v>1612</v>
      </c>
      <c r="C1594" s="286" t="s">
        <v>4330</v>
      </c>
      <c r="D1594" s="865" t="s">
        <v>4330</v>
      </c>
      <c r="E1594" s="287" t="s">
        <v>3557</v>
      </c>
      <c r="F1594" s="287" t="s">
        <v>5176</v>
      </c>
      <c r="G1594" s="288" t="s">
        <v>3553</v>
      </c>
    </row>
    <row r="1595" spans="1:7" x14ac:dyDescent="0.2">
      <c r="A1595" s="944">
        <v>39081001000</v>
      </c>
      <c r="B1595" s="239" t="s">
        <v>1613</v>
      </c>
      <c r="C1595" s="286" t="s">
        <v>2975</v>
      </c>
      <c r="D1595" s="865" t="s">
        <v>2975</v>
      </c>
      <c r="E1595" s="287" t="s">
        <v>3563</v>
      </c>
      <c r="F1595" s="287" t="s">
        <v>5176</v>
      </c>
      <c r="G1595" s="288" t="s">
        <v>3569</v>
      </c>
    </row>
    <row r="1596" spans="1:7" x14ac:dyDescent="0.2">
      <c r="A1596" s="944">
        <v>39081001200</v>
      </c>
      <c r="B1596" s="239" t="s">
        <v>1614</v>
      </c>
      <c r="C1596" s="286" t="s">
        <v>2975</v>
      </c>
      <c r="D1596" s="865" t="s">
        <v>2975</v>
      </c>
      <c r="E1596" s="287" t="s">
        <v>3564</v>
      </c>
      <c r="F1596" s="287" t="s">
        <v>5176</v>
      </c>
      <c r="G1596" s="288" t="s">
        <v>3569</v>
      </c>
    </row>
    <row r="1597" spans="1:7" x14ac:dyDescent="0.2">
      <c r="A1597" s="944">
        <v>39081001300</v>
      </c>
      <c r="B1597" s="239" t="s">
        <v>1615</v>
      </c>
      <c r="C1597" s="286" t="s">
        <v>4330</v>
      </c>
      <c r="D1597" s="865" t="s">
        <v>4330</v>
      </c>
      <c r="E1597" s="287" t="s">
        <v>3557</v>
      </c>
      <c r="F1597" s="287" t="s">
        <v>5177</v>
      </c>
      <c r="G1597" s="288" t="s">
        <v>3569</v>
      </c>
    </row>
    <row r="1598" spans="1:7" x14ac:dyDescent="0.2">
      <c r="A1598" s="944">
        <v>39081001400</v>
      </c>
      <c r="B1598" s="239" t="s">
        <v>1616</v>
      </c>
      <c r="C1598" s="286" t="s">
        <v>2975</v>
      </c>
      <c r="D1598" s="865" t="s">
        <v>2975</v>
      </c>
      <c r="E1598" s="287" t="s">
        <v>3563</v>
      </c>
      <c r="F1598" s="287" t="s">
        <v>3558</v>
      </c>
      <c r="G1598" s="288" t="s">
        <v>3569</v>
      </c>
    </row>
    <row r="1599" spans="1:7" x14ac:dyDescent="0.2">
      <c r="A1599" s="944">
        <v>39081001700</v>
      </c>
      <c r="B1599" s="239" t="s">
        <v>1617</v>
      </c>
      <c r="C1599" s="286" t="s">
        <v>4330</v>
      </c>
      <c r="D1599" s="865" t="s">
        <v>4330</v>
      </c>
      <c r="E1599" s="287" t="s">
        <v>3563</v>
      </c>
      <c r="F1599" s="287" t="s">
        <v>3558</v>
      </c>
      <c r="G1599" s="288" t="s">
        <v>3553</v>
      </c>
    </row>
    <row r="1600" spans="1:7" x14ac:dyDescent="0.2">
      <c r="A1600" s="944">
        <v>39081011000</v>
      </c>
      <c r="B1600" s="239" t="s">
        <v>1618</v>
      </c>
      <c r="C1600" s="286" t="s">
        <v>2975</v>
      </c>
      <c r="D1600" s="865" t="s">
        <v>2975</v>
      </c>
      <c r="E1600" s="287" t="s">
        <v>3564</v>
      </c>
      <c r="F1600" s="287" t="s">
        <v>3558</v>
      </c>
      <c r="G1600" s="288" t="s">
        <v>3568</v>
      </c>
    </row>
    <row r="1601" spans="1:7" x14ac:dyDescent="0.2">
      <c r="A1601" s="944">
        <v>39081011100</v>
      </c>
      <c r="B1601" s="239" t="s">
        <v>1619</v>
      </c>
      <c r="C1601" s="286" t="s">
        <v>2975</v>
      </c>
      <c r="D1601" s="865" t="s">
        <v>2975</v>
      </c>
      <c r="E1601" s="287" t="s">
        <v>3557</v>
      </c>
      <c r="F1601" s="287" t="s">
        <v>3559</v>
      </c>
      <c r="G1601" s="288" t="s">
        <v>3568</v>
      </c>
    </row>
    <row r="1602" spans="1:7" x14ac:dyDescent="0.2">
      <c r="A1602" s="944">
        <v>39081011200</v>
      </c>
      <c r="B1602" s="239" t="s">
        <v>1620</v>
      </c>
      <c r="C1602" s="286" t="s">
        <v>4330</v>
      </c>
      <c r="D1602" s="865" t="s">
        <v>4330</v>
      </c>
      <c r="E1602" s="287" t="s">
        <v>3557</v>
      </c>
      <c r="F1602" s="287" t="s">
        <v>5177</v>
      </c>
      <c r="G1602" s="288" t="s">
        <v>3569</v>
      </c>
    </row>
    <row r="1603" spans="1:7" x14ac:dyDescent="0.2">
      <c r="A1603" s="944">
        <v>39081011300</v>
      </c>
      <c r="B1603" s="239" t="s">
        <v>1621</v>
      </c>
      <c r="C1603" s="286" t="s">
        <v>2975</v>
      </c>
      <c r="D1603" s="865" t="s">
        <v>2975</v>
      </c>
      <c r="E1603" s="287" t="s">
        <v>3564</v>
      </c>
      <c r="F1603" s="287" t="s">
        <v>5176</v>
      </c>
      <c r="G1603" s="288" t="s">
        <v>3569</v>
      </c>
    </row>
    <row r="1604" spans="1:7" x14ac:dyDescent="0.2">
      <c r="A1604" s="944">
        <v>39081011401</v>
      </c>
      <c r="B1604" s="239" t="s">
        <v>1622</v>
      </c>
      <c r="C1604" s="286" t="s">
        <v>2975</v>
      </c>
      <c r="D1604" s="865" t="s">
        <v>2975</v>
      </c>
      <c r="E1604" s="287" t="s">
        <v>3564</v>
      </c>
      <c r="F1604" s="287" t="s">
        <v>5176</v>
      </c>
      <c r="G1604" s="288" t="s">
        <v>3568</v>
      </c>
    </row>
    <row r="1605" spans="1:7" x14ac:dyDescent="0.2">
      <c r="A1605" s="944">
        <v>39081011402</v>
      </c>
      <c r="B1605" s="239" t="s">
        <v>1623</v>
      </c>
      <c r="C1605" s="286" t="s">
        <v>2975</v>
      </c>
      <c r="D1605" s="865" t="s">
        <v>2975</v>
      </c>
      <c r="E1605" s="287" t="s">
        <v>3564</v>
      </c>
      <c r="F1605" s="287" t="s">
        <v>3565</v>
      </c>
      <c r="G1605" s="288" t="s">
        <v>3568</v>
      </c>
    </row>
    <row r="1606" spans="1:7" x14ac:dyDescent="0.2">
      <c r="A1606" s="944">
        <v>39081011500</v>
      </c>
      <c r="B1606" s="239" t="s">
        <v>1624</v>
      </c>
      <c r="C1606" s="286" t="s">
        <v>2975</v>
      </c>
      <c r="D1606" s="865" t="s">
        <v>2975</v>
      </c>
      <c r="E1606" s="287" t="s">
        <v>3563</v>
      </c>
      <c r="F1606" s="287" t="s">
        <v>3559</v>
      </c>
      <c r="G1606" s="288" t="s">
        <v>3568</v>
      </c>
    </row>
    <row r="1607" spans="1:7" x14ac:dyDescent="0.2">
      <c r="A1607" s="944">
        <v>39081011700</v>
      </c>
      <c r="B1607" s="239" t="s">
        <v>1625</v>
      </c>
      <c r="C1607" s="286" t="s">
        <v>2975</v>
      </c>
      <c r="D1607" s="865" t="s">
        <v>2975</v>
      </c>
      <c r="E1607" s="287" t="s">
        <v>3566</v>
      </c>
      <c r="F1607" s="287" t="s">
        <v>3558</v>
      </c>
      <c r="G1607" s="288" t="s">
        <v>3568</v>
      </c>
    </row>
    <row r="1608" spans="1:7" x14ac:dyDescent="0.2">
      <c r="A1608" s="944">
        <v>39081011800</v>
      </c>
      <c r="B1608" s="239" t="s">
        <v>1626</v>
      </c>
      <c r="C1608" s="286" t="s">
        <v>2975</v>
      </c>
      <c r="D1608" s="865" t="s">
        <v>2975</v>
      </c>
      <c r="E1608" s="287" t="s">
        <v>3564</v>
      </c>
      <c r="F1608" s="287" t="s">
        <v>5177</v>
      </c>
      <c r="G1608" s="288" t="s">
        <v>3569</v>
      </c>
    </row>
    <row r="1609" spans="1:7" x14ac:dyDescent="0.2">
      <c r="A1609" s="944">
        <v>39081011900</v>
      </c>
      <c r="B1609" s="239" t="s">
        <v>1627</v>
      </c>
      <c r="C1609" s="286" t="s">
        <v>2975</v>
      </c>
      <c r="D1609" s="865" t="s">
        <v>2975</v>
      </c>
      <c r="E1609" s="287" t="s">
        <v>3557</v>
      </c>
      <c r="F1609" s="287" t="s">
        <v>3565</v>
      </c>
      <c r="G1609" s="288" t="s">
        <v>3568</v>
      </c>
    </row>
    <row r="1610" spans="1:7" x14ac:dyDescent="0.2">
      <c r="A1610" s="944">
        <v>39081012000</v>
      </c>
      <c r="B1610" s="239" t="s">
        <v>1628</v>
      </c>
      <c r="C1610" s="286" t="s">
        <v>2975</v>
      </c>
      <c r="D1610" s="865" t="s">
        <v>2975</v>
      </c>
      <c r="E1610" s="287" t="s">
        <v>3557</v>
      </c>
      <c r="F1610" s="287" t="s">
        <v>3559</v>
      </c>
      <c r="G1610" s="288" t="s">
        <v>3568</v>
      </c>
    </row>
    <row r="1611" spans="1:7" x14ac:dyDescent="0.2">
      <c r="A1611" s="944">
        <v>39081012100</v>
      </c>
      <c r="B1611" s="239" t="s">
        <v>1629</v>
      </c>
      <c r="C1611" s="286" t="s">
        <v>2975</v>
      </c>
      <c r="D1611" s="865" t="s">
        <v>2975</v>
      </c>
      <c r="E1611" s="287" t="s">
        <v>3564</v>
      </c>
      <c r="F1611" s="287" t="s">
        <v>5176</v>
      </c>
      <c r="G1611" s="288" t="s">
        <v>3568</v>
      </c>
    </row>
    <row r="1612" spans="1:7" x14ac:dyDescent="0.2">
      <c r="A1612" s="944">
        <v>39081012200</v>
      </c>
      <c r="B1612" s="239" t="s">
        <v>1630</v>
      </c>
      <c r="C1612" s="286" t="s">
        <v>2975</v>
      </c>
      <c r="D1612" s="865" t="s">
        <v>2975</v>
      </c>
      <c r="E1612" s="287" t="s">
        <v>3557</v>
      </c>
      <c r="F1612" s="287" t="s">
        <v>3559</v>
      </c>
      <c r="G1612" s="288" t="s">
        <v>3568</v>
      </c>
    </row>
    <row r="1613" spans="1:7" x14ac:dyDescent="0.2">
      <c r="A1613" s="944">
        <v>39081012300</v>
      </c>
      <c r="B1613" s="239" t="s">
        <v>1631</v>
      </c>
      <c r="C1613" s="286" t="s">
        <v>2975</v>
      </c>
      <c r="D1613" s="865" t="s">
        <v>2975</v>
      </c>
      <c r="E1613" s="287" t="s">
        <v>3557</v>
      </c>
      <c r="F1613" s="287" t="s">
        <v>5176</v>
      </c>
      <c r="G1613" s="288" t="s">
        <v>3569</v>
      </c>
    </row>
    <row r="1614" spans="1:7" x14ac:dyDescent="0.2">
      <c r="A1614" s="944">
        <v>39083006700</v>
      </c>
      <c r="B1614" s="239" t="s">
        <v>2960</v>
      </c>
      <c r="C1614" s="286" t="s">
        <v>2975</v>
      </c>
      <c r="D1614" s="865" t="s">
        <v>2975</v>
      </c>
      <c r="E1614" s="287" t="s">
        <v>3557</v>
      </c>
      <c r="F1614" s="287" t="s">
        <v>3559</v>
      </c>
      <c r="G1614" s="288" t="s">
        <v>3568</v>
      </c>
    </row>
    <row r="1615" spans="1:7" x14ac:dyDescent="0.2">
      <c r="A1615" s="944">
        <v>39083006801</v>
      </c>
      <c r="B1615" s="239" t="s">
        <v>2961</v>
      </c>
      <c r="C1615" s="286" t="s">
        <v>2975</v>
      </c>
      <c r="D1615" s="865" t="s">
        <v>2975</v>
      </c>
      <c r="E1615" s="287" t="s">
        <v>3563</v>
      </c>
      <c r="F1615" s="287" t="s">
        <v>3565</v>
      </c>
      <c r="G1615" s="288" t="s">
        <v>3568</v>
      </c>
    </row>
    <row r="1616" spans="1:7" x14ac:dyDescent="0.2">
      <c r="A1616" s="944">
        <v>39083006802</v>
      </c>
      <c r="B1616" s="239" t="s">
        <v>2962</v>
      </c>
      <c r="C1616" s="286" t="s">
        <v>2975</v>
      </c>
      <c r="D1616" s="865" t="s">
        <v>2975</v>
      </c>
      <c r="E1616" s="287" t="s">
        <v>3564</v>
      </c>
      <c r="F1616" s="287" t="s">
        <v>3565</v>
      </c>
      <c r="G1616" s="288" t="s">
        <v>3568</v>
      </c>
    </row>
    <row r="1617" spans="1:7" x14ac:dyDescent="0.2">
      <c r="A1617" s="944">
        <v>39083006900</v>
      </c>
      <c r="B1617" s="239" t="s">
        <v>2963</v>
      </c>
      <c r="C1617" s="286" t="s">
        <v>2975</v>
      </c>
      <c r="D1617" s="865" t="s">
        <v>2975</v>
      </c>
      <c r="E1617" s="287" t="s">
        <v>3563</v>
      </c>
      <c r="F1617" s="287" t="s">
        <v>3565</v>
      </c>
      <c r="G1617" s="288" t="s">
        <v>3568</v>
      </c>
    </row>
    <row r="1618" spans="1:7" x14ac:dyDescent="0.2">
      <c r="A1618" s="944">
        <v>39083007000</v>
      </c>
      <c r="B1618" s="239" t="s">
        <v>2964</v>
      </c>
      <c r="C1618" s="286" t="s">
        <v>2975</v>
      </c>
      <c r="D1618" s="865" t="s">
        <v>2975</v>
      </c>
      <c r="E1618" s="287" t="s">
        <v>3566</v>
      </c>
      <c r="F1618" s="287" t="s">
        <v>3565</v>
      </c>
      <c r="G1618" s="288" t="s">
        <v>3568</v>
      </c>
    </row>
    <row r="1619" spans="1:7" x14ac:dyDescent="0.2">
      <c r="A1619" s="944">
        <v>39083007100</v>
      </c>
      <c r="B1619" s="239" t="s">
        <v>2965</v>
      </c>
      <c r="C1619" s="286" t="s">
        <v>4330</v>
      </c>
      <c r="D1619" s="865" t="s">
        <v>4330</v>
      </c>
      <c r="E1619" s="287" t="s">
        <v>3557</v>
      </c>
      <c r="F1619" s="287" t="s">
        <v>3559</v>
      </c>
      <c r="G1619" s="288" t="s">
        <v>3568</v>
      </c>
    </row>
    <row r="1620" spans="1:7" x14ac:dyDescent="0.2">
      <c r="A1620" s="944">
        <v>39083007200</v>
      </c>
      <c r="B1620" s="239" t="s">
        <v>2966</v>
      </c>
      <c r="C1620" s="286" t="s">
        <v>2975</v>
      </c>
      <c r="D1620" s="865" t="s">
        <v>2975</v>
      </c>
      <c r="E1620" s="287" t="s">
        <v>3564</v>
      </c>
      <c r="F1620" s="287" t="s">
        <v>3559</v>
      </c>
      <c r="G1620" s="288" t="s">
        <v>3568</v>
      </c>
    </row>
    <row r="1621" spans="1:7" x14ac:dyDescent="0.2">
      <c r="A1621" s="944">
        <v>39083007300</v>
      </c>
      <c r="B1621" s="239" t="s">
        <v>2967</v>
      </c>
      <c r="C1621" s="286" t="s">
        <v>2975</v>
      </c>
      <c r="D1621" s="865" t="s">
        <v>2975</v>
      </c>
      <c r="E1621" s="287" t="s">
        <v>3562</v>
      </c>
      <c r="F1621" s="287" t="s">
        <v>3559</v>
      </c>
      <c r="G1621" s="288" t="s">
        <v>3568</v>
      </c>
    </row>
    <row r="1622" spans="1:7" x14ac:dyDescent="0.2">
      <c r="A1622" s="944">
        <v>39083007400</v>
      </c>
      <c r="B1622" s="239" t="s">
        <v>2968</v>
      </c>
      <c r="C1622" s="286" t="s">
        <v>2975</v>
      </c>
      <c r="D1622" s="865" t="s">
        <v>2975</v>
      </c>
      <c r="E1622" s="287" t="s">
        <v>3564</v>
      </c>
      <c r="F1622" s="287" t="s">
        <v>5177</v>
      </c>
      <c r="G1622" s="288" t="s">
        <v>3568</v>
      </c>
    </row>
    <row r="1623" spans="1:7" x14ac:dyDescent="0.2">
      <c r="A1623" s="944">
        <v>39083007500</v>
      </c>
      <c r="B1623" s="239" t="s">
        <v>2969</v>
      </c>
      <c r="C1623" s="286" t="s">
        <v>2975</v>
      </c>
      <c r="D1623" s="865" t="s">
        <v>2975</v>
      </c>
      <c r="E1623" s="287" t="s">
        <v>3566</v>
      </c>
      <c r="F1623" s="287" t="s">
        <v>3559</v>
      </c>
      <c r="G1623" s="288" t="s">
        <v>3568</v>
      </c>
    </row>
    <row r="1624" spans="1:7" x14ac:dyDescent="0.2">
      <c r="A1624" s="944">
        <v>39083007600</v>
      </c>
      <c r="B1624" s="239" t="s">
        <v>2970</v>
      </c>
      <c r="C1624" s="286" t="s">
        <v>2975</v>
      </c>
      <c r="D1624" s="865" t="s">
        <v>2975</v>
      </c>
      <c r="E1624" s="287" t="s">
        <v>3557</v>
      </c>
      <c r="F1624" s="287" t="s">
        <v>3565</v>
      </c>
      <c r="G1624" s="288" t="s">
        <v>3568</v>
      </c>
    </row>
    <row r="1625" spans="1:7" x14ac:dyDescent="0.2">
      <c r="A1625" s="944">
        <v>39083007700</v>
      </c>
      <c r="B1625" s="239" t="s">
        <v>2971</v>
      </c>
      <c r="C1625" s="286" t="s">
        <v>2975</v>
      </c>
      <c r="D1625" s="865" t="s">
        <v>2975</v>
      </c>
      <c r="E1625" s="287" t="s">
        <v>3566</v>
      </c>
      <c r="F1625" s="287" t="s">
        <v>5177</v>
      </c>
      <c r="G1625" s="288" t="s">
        <v>3568</v>
      </c>
    </row>
    <row r="1626" spans="1:7" x14ac:dyDescent="0.2">
      <c r="A1626" s="944">
        <v>39085200100</v>
      </c>
      <c r="B1626" s="239" t="s">
        <v>1632</v>
      </c>
      <c r="C1626" s="286" t="s">
        <v>2975</v>
      </c>
      <c r="D1626" s="865" t="s">
        <v>2975</v>
      </c>
      <c r="E1626" s="287" t="s">
        <v>3566</v>
      </c>
      <c r="F1626" s="287" t="s">
        <v>3565</v>
      </c>
      <c r="G1626" s="288" t="s">
        <v>3569</v>
      </c>
    </row>
    <row r="1627" spans="1:7" x14ac:dyDescent="0.2">
      <c r="A1627" s="944">
        <v>39085200200</v>
      </c>
      <c r="B1627" s="239" t="s">
        <v>1633</v>
      </c>
      <c r="C1627" s="286" t="s">
        <v>2975</v>
      </c>
      <c r="D1627" s="865" t="s">
        <v>2975</v>
      </c>
      <c r="E1627" s="287" t="s">
        <v>3564</v>
      </c>
      <c r="F1627" s="287" t="s">
        <v>3565</v>
      </c>
      <c r="G1627" s="288" t="s">
        <v>3569</v>
      </c>
    </row>
    <row r="1628" spans="1:7" x14ac:dyDescent="0.2">
      <c r="A1628" s="944">
        <v>39085200300</v>
      </c>
      <c r="B1628" s="239" t="s">
        <v>1634</v>
      </c>
      <c r="C1628" s="286" t="s">
        <v>2975</v>
      </c>
      <c r="D1628" s="865" t="s">
        <v>2975</v>
      </c>
      <c r="E1628" s="287" t="s">
        <v>3563</v>
      </c>
      <c r="F1628" s="287" t="s">
        <v>3559</v>
      </c>
      <c r="G1628" s="288" t="s">
        <v>3569</v>
      </c>
    </row>
    <row r="1629" spans="1:7" x14ac:dyDescent="0.2">
      <c r="A1629" s="944">
        <v>39085200400</v>
      </c>
      <c r="B1629" s="239" t="s">
        <v>1635</v>
      </c>
      <c r="C1629" s="286" t="s">
        <v>2975</v>
      </c>
      <c r="D1629" s="865" t="s">
        <v>2975</v>
      </c>
      <c r="E1629" s="287" t="s">
        <v>3566</v>
      </c>
      <c r="F1629" s="287" t="s">
        <v>5176</v>
      </c>
      <c r="G1629" s="288" t="s">
        <v>3569</v>
      </c>
    </row>
    <row r="1630" spans="1:7" x14ac:dyDescent="0.2">
      <c r="A1630" s="944">
        <v>39085200500</v>
      </c>
      <c r="B1630" s="239" t="s">
        <v>1636</v>
      </c>
      <c r="C1630" s="286" t="s">
        <v>2975</v>
      </c>
      <c r="D1630" s="865" t="s">
        <v>2975</v>
      </c>
      <c r="E1630" s="287" t="s">
        <v>3563</v>
      </c>
      <c r="F1630" s="287" t="s">
        <v>5177</v>
      </c>
      <c r="G1630" s="288" t="s">
        <v>3569</v>
      </c>
    </row>
    <row r="1631" spans="1:7" x14ac:dyDescent="0.2">
      <c r="A1631" s="944">
        <v>39085200600</v>
      </c>
      <c r="B1631" s="239" t="s">
        <v>1637</v>
      </c>
      <c r="C1631" s="286" t="s">
        <v>2975</v>
      </c>
      <c r="D1631" s="865" t="s">
        <v>2975</v>
      </c>
      <c r="E1631" s="287" t="s">
        <v>3563</v>
      </c>
      <c r="F1631" s="287" t="s">
        <v>3559</v>
      </c>
      <c r="G1631" s="288" t="s">
        <v>3569</v>
      </c>
    </row>
    <row r="1632" spans="1:7" x14ac:dyDescent="0.2">
      <c r="A1632" s="944">
        <v>39085200700</v>
      </c>
      <c r="B1632" s="239" t="s">
        <v>1638</v>
      </c>
      <c r="C1632" s="286" t="s">
        <v>2975</v>
      </c>
      <c r="D1632" s="865" t="s">
        <v>2975</v>
      </c>
      <c r="E1632" s="287" t="s">
        <v>3563</v>
      </c>
      <c r="F1632" s="287" t="s">
        <v>5177</v>
      </c>
      <c r="G1632" s="288" t="s">
        <v>3569</v>
      </c>
    </row>
    <row r="1633" spans="1:7" x14ac:dyDescent="0.2">
      <c r="A1633" s="944">
        <v>39085200800</v>
      </c>
      <c r="B1633" s="239" t="s">
        <v>1639</v>
      </c>
      <c r="C1633" s="286" t="s">
        <v>2975</v>
      </c>
      <c r="D1633" s="865" t="s">
        <v>2975</v>
      </c>
      <c r="E1633" s="287" t="s">
        <v>3566</v>
      </c>
      <c r="F1633" s="287" t="s">
        <v>5176</v>
      </c>
      <c r="G1633" s="288" t="s">
        <v>3569</v>
      </c>
    </row>
    <row r="1634" spans="1:7" x14ac:dyDescent="0.2">
      <c r="A1634" s="944">
        <v>39085200900</v>
      </c>
      <c r="B1634" s="239" t="s">
        <v>1640</v>
      </c>
      <c r="C1634" s="286" t="s">
        <v>2975</v>
      </c>
      <c r="D1634" s="865" t="s">
        <v>2975</v>
      </c>
      <c r="E1634" s="287" t="s">
        <v>3563</v>
      </c>
      <c r="F1634" s="287" t="s">
        <v>3558</v>
      </c>
      <c r="G1634" s="288" t="s">
        <v>3569</v>
      </c>
    </row>
    <row r="1635" spans="1:7" x14ac:dyDescent="0.2">
      <c r="A1635" s="944">
        <v>39085201000</v>
      </c>
      <c r="B1635" s="239" t="s">
        <v>1641</v>
      </c>
      <c r="C1635" s="286" t="s">
        <v>2975</v>
      </c>
      <c r="D1635" s="865" t="s">
        <v>2975</v>
      </c>
      <c r="E1635" s="287" t="s">
        <v>3563</v>
      </c>
      <c r="F1635" s="287" t="s">
        <v>3559</v>
      </c>
      <c r="G1635" s="288" t="s">
        <v>3569</v>
      </c>
    </row>
    <row r="1636" spans="1:7" x14ac:dyDescent="0.2">
      <c r="A1636" s="944">
        <v>39085201100</v>
      </c>
      <c r="B1636" s="239" t="s">
        <v>1642</v>
      </c>
      <c r="C1636" s="286" t="s">
        <v>2975</v>
      </c>
      <c r="D1636" s="865" t="s">
        <v>2975</v>
      </c>
      <c r="E1636" s="287" t="s">
        <v>3563</v>
      </c>
      <c r="F1636" s="287" t="s">
        <v>5176</v>
      </c>
      <c r="G1636" s="288" t="s">
        <v>3569</v>
      </c>
    </row>
    <row r="1637" spans="1:7" x14ac:dyDescent="0.2">
      <c r="A1637" s="944">
        <v>39085201200</v>
      </c>
      <c r="B1637" s="239" t="s">
        <v>1643</v>
      </c>
      <c r="C1637" s="286" t="s">
        <v>2975</v>
      </c>
      <c r="D1637" s="865" t="s">
        <v>2975</v>
      </c>
      <c r="E1637" s="287" t="s">
        <v>3562</v>
      </c>
      <c r="F1637" s="287" t="s">
        <v>3565</v>
      </c>
      <c r="G1637" s="288" t="s">
        <v>3569</v>
      </c>
    </row>
    <row r="1638" spans="1:7" x14ac:dyDescent="0.2">
      <c r="A1638" s="944">
        <v>39085201300</v>
      </c>
      <c r="B1638" s="239" t="s">
        <v>1644</v>
      </c>
      <c r="C1638" s="286" t="s">
        <v>2975</v>
      </c>
      <c r="D1638" s="865" t="s">
        <v>2975</v>
      </c>
      <c r="E1638" s="287" t="s">
        <v>3563</v>
      </c>
      <c r="F1638" s="287" t="s">
        <v>3559</v>
      </c>
      <c r="G1638" s="288" t="s">
        <v>3569</v>
      </c>
    </row>
    <row r="1639" spans="1:7" x14ac:dyDescent="0.2">
      <c r="A1639" s="944">
        <v>39085201400</v>
      </c>
      <c r="B1639" s="239" t="s">
        <v>1645</v>
      </c>
      <c r="C1639" s="286" t="s">
        <v>2975</v>
      </c>
      <c r="D1639" s="865" t="s">
        <v>2975</v>
      </c>
      <c r="E1639" s="287" t="s">
        <v>3563</v>
      </c>
      <c r="F1639" s="287" t="s">
        <v>3559</v>
      </c>
      <c r="G1639" s="288" t="s">
        <v>3569</v>
      </c>
    </row>
    <row r="1640" spans="1:7" x14ac:dyDescent="0.2">
      <c r="A1640" s="944">
        <v>39085201500</v>
      </c>
      <c r="B1640" s="239" t="s">
        <v>1646</v>
      </c>
      <c r="C1640" s="286" t="s">
        <v>2975</v>
      </c>
      <c r="D1640" s="865" t="s">
        <v>2975</v>
      </c>
      <c r="E1640" s="287" t="s">
        <v>3563</v>
      </c>
      <c r="F1640" s="287" t="s">
        <v>3559</v>
      </c>
      <c r="G1640" s="288" t="s">
        <v>3569</v>
      </c>
    </row>
    <row r="1641" spans="1:7" x14ac:dyDescent="0.2">
      <c r="A1641" s="944">
        <v>39085201600</v>
      </c>
      <c r="B1641" s="239" t="s">
        <v>1647</v>
      </c>
      <c r="C1641" s="286" t="s">
        <v>2975</v>
      </c>
      <c r="D1641" s="865" t="s">
        <v>2975</v>
      </c>
      <c r="E1641" s="287" t="s">
        <v>3566</v>
      </c>
      <c r="F1641" s="287" t="s">
        <v>5177</v>
      </c>
      <c r="G1641" s="288" t="s">
        <v>3569</v>
      </c>
    </row>
    <row r="1642" spans="1:7" x14ac:dyDescent="0.2">
      <c r="A1642" s="944">
        <v>39085201700</v>
      </c>
      <c r="B1642" s="239" t="s">
        <v>1648</v>
      </c>
      <c r="C1642" s="286" t="s">
        <v>2975</v>
      </c>
      <c r="D1642" s="865" t="s">
        <v>2975</v>
      </c>
      <c r="E1642" s="287" t="s">
        <v>3564</v>
      </c>
      <c r="F1642" s="287" t="s">
        <v>3558</v>
      </c>
      <c r="G1642" s="288" t="s">
        <v>3569</v>
      </c>
    </row>
    <row r="1643" spans="1:7" x14ac:dyDescent="0.2">
      <c r="A1643" s="944">
        <v>39085201800</v>
      </c>
      <c r="B1643" s="239" t="s">
        <v>1649</v>
      </c>
      <c r="C1643" s="286" t="s">
        <v>2975</v>
      </c>
      <c r="D1643" s="865" t="s">
        <v>2975</v>
      </c>
      <c r="E1643" s="287" t="s">
        <v>3566</v>
      </c>
      <c r="F1643" s="287" t="s">
        <v>3558</v>
      </c>
      <c r="G1643" s="288" t="s">
        <v>3569</v>
      </c>
    </row>
    <row r="1644" spans="1:7" x14ac:dyDescent="0.2">
      <c r="A1644" s="944">
        <v>39085201900</v>
      </c>
      <c r="B1644" s="239" t="s">
        <v>1650</v>
      </c>
      <c r="C1644" s="286" t="s">
        <v>2975</v>
      </c>
      <c r="D1644" s="865" t="s">
        <v>2975</v>
      </c>
      <c r="E1644" s="287" t="s">
        <v>3564</v>
      </c>
      <c r="F1644" s="287" t="s">
        <v>3558</v>
      </c>
      <c r="G1644" s="288" t="s">
        <v>3569</v>
      </c>
    </row>
    <row r="1645" spans="1:7" x14ac:dyDescent="0.2">
      <c r="A1645" s="944">
        <v>39085202000</v>
      </c>
      <c r="B1645" s="239" t="s">
        <v>1651</v>
      </c>
      <c r="C1645" s="286" t="s">
        <v>2975</v>
      </c>
      <c r="D1645" s="865" t="s">
        <v>2975</v>
      </c>
      <c r="E1645" s="287" t="s">
        <v>3564</v>
      </c>
      <c r="F1645" s="287" t="s">
        <v>3565</v>
      </c>
      <c r="G1645" s="288" t="s">
        <v>3569</v>
      </c>
    </row>
    <row r="1646" spans="1:7" x14ac:dyDescent="0.2">
      <c r="A1646" s="944">
        <v>39085202100</v>
      </c>
      <c r="B1646" s="239" t="s">
        <v>1652</v>
      </c>
      <c r="C1646" s="286" t="s">
        <v>2975</v>
      </c>
      <c r="D1646" s="865" t="s">
        <v>2975</v>
      </c>
      <c r="E1646" s="287" t="s">
        <v>3564</v>
      </c>
      <c r="F1646" s="287" t="s">
        <v>3558</v>
      </c>
      <c r="G1646" s="288" t="s">
        <v>3569</v>
      </c>
    </row>
    <row r="1647" spans="1:7" x14ac:dyDescent="0.2">
      <c r="A1647" s="944">
        <v>39085202400</v>
      </c>
      <c r="B1647" s="239" t="s">
        <v>1653</v>
      </c>
      <c r="C1647" s="286" t="s">
        <v>2975</v>
      </c>
      <c r="D1647" s="865" t="s">
        <v>2975</v>
      </c>
      <c r="E1647" s="287" t="s">
        <v>3563</v>
      </c>
      <c r="F1647" s="287" t="s">
        <v>5177</v>
      </c>
      <c r="G1647" s="288" t="s">
        <v>3569</v>
      </c>
    </row>
    <row r="1648" spans="1:7" x14ac:dyDescent="0.2">
      <c r="A1648" s="944">
        <v>39085202500</v>
      </c>
      <c r="B1648" s="239" t="s">
        <v>1654</v>
      </c>
      <c r="C1648" s="286" t="s">
        <v>2975</v>
      </c>
      <c r="D1648" s="865" t="s">
        <v>2975</v>
      </c>
      <c r="E1648" s="287" t="s">
        <v>3566</v>
      </c>
      <c r="F1648" s="287" t="s">
        <v>3559</v>
      </c>
      <c r="G1648" s="288" t="s">
        <v>3569</v>
      </c>
    </row>
    <row r="1649" spans="1:7" x14ac:dyDescent="0.2">
      <c r="A1649" s="944">
        <v>39085202600</v>
      </c>
      <c r="B1649" s="239" t="s">
        <v>1655</v>
      </c>
      <c r="C1649" s="286" t="s">
        <v>2975</v>
      </c>
      <c r="D1649" s="865" t="s">
        <v>2975</v>
      </c>
      <c r="E1649" s="287" t="s">
        <v>3566</v>
      </c>
      <c r="F1649" s="287" t="s">
        <v>5176</v>
      </c>
      <c r="G1649" s="288" t="s">
        <v>3569</v>
      </c>
    </row>
    <row r="1650" spans="1:7" x14ac:dyDescent="0.2">
      <c r="A1650" s="944">
        <v>39085202700</v>
      </c>
      <c r="B1650" s="239" t="s">
        <v>1656</v>
      </c>
      <c r="C1650" s="286" t="s">
        <v>2975</v>
      </c>
      <c r="D1650" s="865" t="s">
        <v>2975</v>
      </c>
      <c r="E1650" s="287" t="s">
        <v>3563</v>
      </c>
      <c r="F1650" s="287" t="s">
        <v>3558</v>
      </c>
      <c r="G1650" s="288" t="s">
        <v>3569</v>
      </c>
    </row>
    <row r="1651" spans="1:7" x14ac:dyDescent="0.2">
      <c r="A1651" s="944">
        <v>39085202800</v>
      </c>
      <c r="B1651" s="239" t="s">
        <v>1657</v>
      </c>
      <c r="C1651" s="286" t="s">
        <v>2975</v>
      </c>
      <c r="D1651" s="865" t="s">
        <v>2975</v>
      </c>
      <c r="E1651" s="287" t="s">
        <v>3562</v>
      </c>
      <c r="F1651" s="287" t="s">
        <v>5176</v>
      </c>
      <c r="G1651" s="288" t="s">
        <v>3569</v>
      </c>
    </row>
    <row r="1652" spans="1:7" x14ac:dyDescent="0.2">
      <c r="A1652" s="944">
        <v>39085202900</v>
      </c>
      <c r="B1652" s="239" t="s">
        <v>1658</v>
      </c>
      <c r="C1652" s="286" t="s">
        <v>2975</v>
      </c>
      <c r="D1652" s="865" t="s">
        <v>2975</v>
      </c>
      <c r="E1652" s="287" t="s">
        <v>3563</v>
      </c>
      <c r="F1652" s="287" t="s">
        <v>3558</v>
      </c>
      <c r="G1652" s="288" t="s">
        <v>3569</v>
      </c>
    </row>
    <row r="1653" spans="1:7" x14ac:dyDescent="0.2">
      <c r="A1653" s="944">
        <v>39085203000</v>
      </c>
      <c r="B1653" s="239" t="s">
        <v>1659</v>
      </c>
      <c r="C1653" s="286" t="s">
        <v>2975</v>
      </c>
      <c r="D1653" s="865" t="s">
        <v>2975</v>
      </c>
      <c r="E1653" s="287" t="s">
        <v>3563</v>
      </c>
      <c r="F1653" s="287" t="s">
        <v>3565</v>
      </c>
      <c r="G1653" s="288" t="s">
        <v>3569</v>
      </c>
    </row>
    <row r="1654" spans="1:7" x14ac:dyDescent="0.2">
      <c r="A1654" s="944">
        <v>39085203200</v>
      </c>
      <c r="B1654" s="239" t="s">
        <v>1660</v>
      </c>
      <c r="C1654" s="286" t="s">
        <v>2975</v>
      </c>
      <c r="D1654" s="865" t="s">
        <v>2975</v>
      </c>
      <c r="E1654" s="287" t="s">
        <v>3563</v>
      </c>
      <c r="F1654" s="287" t="s">
        <v>3558</v>
      </c>
      <c r="G1654" s="288" t="s">
        <v>3569</v>
      </c>
    </row>
    <row r="1655" spans="1:7" x14ac:dyDescent="0.2">
      <c r="A1655" s="944">
        <v>39085203400</v>
      </c>
      <c r="B1655" s="239" t="s">
        <v>1661</v>
      </c>
      <c r="C1655" s="286" t="s">
        <v>2975</v>
      </c>
      <c r="D1655" s="865" t="s">
        <v>2975</v>
      </c>
      <c r="E1655" s="287" t="s">
        <v>3563</v>
      </c>
      <c r="F1655" s="287" t="s">
        <v>3558</v>
      </c>
      <c r="G1655" s="288" t="s">
        <v>3569</v>
      </c>
    </row>
    <row r="1656" spans="1:7" x14ac:dyDescent="0.2">
      <c r="A1656" s="944">
        <v>39085203500</v>
      </c>
      <c r="B1656" s="239" t="s">
        <v>1662</v>
      </c>
      <c r="C1656" s="286" t="s">
        <v>2975</v>
      </c>
      <c r="D1656" s="865" t="s">
        <v>2975</v>
      </c>
      <c r="E1656" s="287" t="s">
        <v>3562</v>
      </c>
      <c r="F1656" s="287" t="s">
        <v>3565</v>
      </c>
      <c r="G1656" s="288" t="s">
        <v>3569</v>
      </c>
    </row>
    <row r="1657" spans="1:7" x14ac:dyDescent="0.2">
      <c r="A1657" s="944">
        <v>39085203700</v>
      </c>
      <c r="B1657" s="239" t="s">
        <v>1663</v>
      </c>
      <c r="C1657" s="286" t="s">
        <v>2975</v>
      </c>
      <c r="D1657" s="865" t="s">
        <v>2975</v>
      </c>
      <c r="E1657" s="287" t="s">
        <v>3563</v>
      </c>
      <c r="F1657" s="287" t="s">
        <v>3558</v>
      </c>
      <c r="G1657" s="288" t="s">
        <v>3569</v>
      </c>
    </row>
    <row r="1658" spans="1:7" x14ac:dyDescent="0.2">
      <c r="A1658" s="944">
        <v>39085204000</v>
      </c>
      <c r="B1658" s="239" t="s">
        <v>1664</v>
      </c>
      <c r="C1658" s="286" t="s">
        <v>2975</v>
      </c>
      <c r="D1658" s="865" t="s">
        <v>2975</v>
      </c>
      <c r="E1658" s="287" t="s">
        <v>3564</v>
      </c>
      <c r="F1658" s="287" t="s">
        <v>5176</v>
      </c>
      <c r="G1658" s="288" t="s">
        <v>3569</v>
      </c>
    </row>
    <row r="1659" spans="1:7" x14ac:dyDescent="0.2">
      <c r="A1659" s="944">
        <v>39085204200</v>
      </c>
      <c r="B1659" s="239" t="s">
        <v>1665</v>
      </c>
      <c r="C1659" s="286" t="s">
        <v>2975</v>
      </c>
      <c r="D1659" s="865" t="s">
        <v>2975</v>
      </c>
      <c r="E1659" s="287" t="s">
        <v>3557</v>
      </c>
      <c r="F1659" s="287" t="s">
        <v>5177</v>
      </c>
      <c r="G1659" s="288" t="s">
        <v>3569</v>
      </c>
    </row>
    <row r="1660" spans="1:7" x14ac:dyDescent="0.2">
      <c r="A1660" s="944">
        <v>39085204301</v>
      </c>
      <c r="B1660" s="239" t="s">
        <v>1666</v>
      </c>
      <c r="C1660" s="286" t="s">
        <v>2975</v>
      </c>
      <c r="D1660" s="865" t="s">
        <v>2975</v>
      </c>
      <c r="E1660" s="287" t="s">
        <v>3562</v>
      </c>
      <c r="F1660" s="287" t="s">
        <v>5176</v>
      </c>
      <c r="G1660" s="288" t="s">
        <v>3569</v>
      </c>
    </row>
    <row r="1661" spans="1:7" x14ac:dyDescent="0.2">
      <c r="A1661" s="944">
        <v>39085204302</v>
      </c>
      <c r="B1661" s="239" t="s">
        <v>1667</v>
      </c>
      <c r="C1661" s="286" t="s">
        <v>2975</v>
      </c>
      <c r="D1661" s="865" t="s">
        <v>2975</v>
      </c>
      <c r="E1661" s="287" t="s">
        <v>3557</v>
      </c>
      <c r="F1661" s="287" t="s">
        <v>3558</v>
      </c>
      <c r="G1661" s="288" t="s">
        <v>3569</v>
      </c>
    </row>
    <row r="1662" spans="1:7" x14ac:dyDescent="0.2">
      <c r="A1662" s="944">
        <v>39085204400</v>
      </c>
      <c r="B1662" s="239" t="s">
        <v>1668</v>
      </c>
      <c r="C1662" s="286" t="s">
        <v>2975</v>
      </c>
      <c r="D1662" s="865" t="s">
        <v>2975</v>
      </c>
      <c r="E1662" s="287" t="s">
        <v>3557</v>
      </c>
      <c r="F1662" s="287" t="s">
        <v>3558</v>
      </c>
      <c r="G1662" s="288" t="s">
        <v>3569</v>
      </c>
    </row>
    <row r="1663" spans="1:7" x14ac:dyDescent="0.2">
      <c r="A1663" s="944">
        <v>39085204500</v>
      </c>
      <c r="B1663" s="239" t="s">
        <v>1669</v>
      </c>
      <c r="C1663" s="286" t="s">
        <v>4330</v>
      </c>
      <c r="D1663" s="865" t="s">
        <v>4330</v>
      </c>
      <c r="E1663" s="287" t="s">
        <v>3557</v>
      </c>
      <c r="F1663" s="287" t="s">
        <v>5177</v>
      </c>
      <c r="G1663" s="288" t="s">
        <v>3569</v>
      </c>
    </row>
    <row r="1664" spans="1:7" x14ac:dyDescent="0.2">
      <c r="A1664" s="944">
        <v>39085204700</v>
      </c>
      <c r="B1664" s="239" t="s">
        <v>1670</v>
      </c>
      <c r="C1664" s="286" t="s">
        <v>2975</v>
      </c>
      <c r="D1664" s="865" t="s">
        <v>2975</v>
      </c>
      <c r="E1664" s="287" t="s">
        <v>3564</v>
      </c>
      <c r="F1664" s="287" t="s">
        <v>3558</v>
      </c>
      <c r="G1664" s="288" t="s">
        <v>3569</v>
      </c>
    </row>
    <row r="1665" spans="1:7" x14ac:dyDescent="0.2">
      <c r="A1665" s="944">
        <v>39085204800</v>
      </c>
      <c r="B1665" s="239" t="s">
        <v>1671</v>
      </c>
      <c r="C1665" s="286" t="s">
        <v>2975</v>
      </c>
      <c r="D1665" s="865" t="s">
        <v>2975</v>
      </c>
      <c r="E1665" s="287" t="s">
        <v>3564</v>
      </c>
      <c r="F1665" s="287" t="s">
        <v>3558</v>
      </c>
      <c r="G1665" s="288" t="s">
        <v>3569</v>
      </c>
    </row>
    <row r="1666" spans="1:7" x14ac:dyDescent="0.2">
      <c r="A1666" s="944">
        <v>39085204900</v>
      </c>
      <c r="B1666" s="239" t="s">
        <v>1672</v>
      </c>
      <c r="C1666" s="286" t="s">
        <v>2975</v>
      </c>
      <c r="D1666" s="865" t="s">
        <v>2975</v>
      </c>
      <c r="E1666" s="287" t="s">
        <v>3564</v>
      </c>
      <c r="F1666" s="287" t="s">
        <v>3565</v>
      </c>
      <c r="G1666" s="288" t="s">
        <v>3569</v>
      </c>
    </row>
    <row r="1667" spans="1:7" x14ac:dyDescent="0.2">
      <c r="A1667" s="944">
        <v>39085205001</v>
      </c>
      <c r="B1667" s="239" t="s">
        <v>1673</v>
      </c>
      <c r="C1667" s="286" t="s">
        <v>2975</v>
      </c>
      <c r="D1667" s="865" t="s">
        <v>2975</v>
      </c>
      <c r="E1667" s="287" t="s">
        <v>3562</v>
      </c>
      <c r="F1667" s="287" t="s">
        <v>3565</v>
      </c>
      <c r="G1667" s="288" t="s">
        <v>3569</v>
      </c>
    </row>
    <row r="1668" spans="1:7" x14ac:dyDescent="0.2">
      <c r="A1668" s="944">
        <v>39085205002</v>
      </c>
      <c r="B1668" s="239" t="s">
        <v>1674</v>
      </c>
      <c r="C1668" s="286" t="s">
        <v>2975</v>
      </c>
      <c r="D1668" s="865" t="s">
        <v>2975</v>
      </c>
      <c r="E1668" s="287" t="s">
        <v>3563</v>
      </c>
      <c r="F1668" s="287" t="s">
        <v>3559</v>
      </c>
      <c r="G1668" s="288" t="s">
        <v>3569</v>
      </c>
    </row>
    <row r="1669" spans="1:7" x14ac:dyDescent="0.2">
      <c r="A1669" s="944">
        <v>39085205100</v>
      </c>
      <c r="B1669" s="239" t="s">
        <v>1675</v>
      </c>
      <c r="C1669" s="286" t="s">
        <v>2975</v>
      </c>
      <c r="D1669" s="865" t="s">
        <v>2975</v>
      </c>
      <c r="E1669" s="287" t="s">
        <v>3562</v>
      </c>
      <c r="F1669" s="287" t="s">
        <v>3558</v>
      </c>
      <c r="G1669" s="288" t="s">
        <v>3568</v>
      </c>
    </row>
    <row r="1670" spans="1:7" x14ac:dyDescent="0.2">
      <c r="A1670" s="944">
        <v>39085205200</v>
      </c>
      <c r="B1670" s="239" t="s">
        <v>1676</v>
      </c>
      <c r="C1670" s="286" t="s">
        <v>2975</v>
      </c>
      <c r="D1670" s="865" t="s">
        <v>2975</v>
      </c>
      <c r="E1670" s="287" t="s">
        <v>3566</v>
      </c>
      <c r="F1670" s="287" t="s">
        <v>5176</v>
      </c>
      <c r="G1670" s="288" t="s">
        <v>3568</v>
      </c>
    </row>
    <row r="1671" spans="1:7" x14ac:dyDescent="0.2">
      <c r="A1671" s="944">
        <v>39085205300</v>
      </c>
      <c r="B1671" s="239" t="s">
        <v>1677</v>
      </c>
      <c r="C1671" s="286" t="s">
        <v>2975</v>
      </c>
      <c r="D1671" s="865" t="s">
        <v>2975</v>
      </c>
      <c r="E1671" s="287" t="s">
        <v>3562</v>
      </c>
      <c r="F1671" s="287" t="s">
        <v>3559</v>
      </c>
      <c r="G1671" s="288" t="s">
        <v>3568</v>
      </c>
    </row>
    <row r="1672" spans="1:7" x14ac:dyDescent="0.2">
      <c r="A1672" s="944">
        <v>39085205400</v>
      </c>
      <c r="B1672" s="239" t="s">
        <v>1678</v>
      </c>
      <c r="C1672" s="286" t="s">
        <v>2975</v>
      </c>
      <c r="D1672" s="865" t="s">
        <v>2975</v>
      </c>
      <c r="E1672" s="287" t="s">
        <v>3566</v>
      </c>
      <c r="F1672" s="287" t="s">
        <v>5176</v>
      </c>
      <c r="G1672" s="288" t="s">
        <v>3569</v>
      </c>
    </row>
    <row r="1673" spans="1:7" x14ac:dyDescent="0.2">
      <c r="A1673" s="944">
        <v>39085205701</v>
      </c>
      <c r="B1673" s="239" t="s">
        <v>1679</v>
      </c>
      <c r="C1673" s="286" t="s">
        <v>2975</v>
      </c>
      <c r="D1673" s="865" t="s">
        <v>2975</v>
      </c>
      <c r="E1673" s="287" t="s">
        <v>3564</v>
      </c>
      <c r="F1673" s="287" t="s">
        <v>3559</v>
      </c>
      <c r="G1673" s="288" t="s">
        <v>3569</v>
      </c>
    </row>
    <row r="1674" spans="1:7" x14ac:dyDescent="0.2">
      <c r="A1674" s="944">
        <v>39085205702</v>
      </c>
      <c r="B1674" s="239" t="s">
        <v>1680</v>
      </c>
      <c r="C1674" s="286" t="s">
        <v>2975</v>
      </c>
      <c r="D1674" s="865" t="s">
        <v>2975</v>
      </c>
      <c r="E1674" s="287" t="s">
        <v>3564</v>
      </c>
      <c r="F1674" s="287" t="s">
        <v>5176</v>
      </c>
      <c r="G1674" s="288" t="s">
        <v>3569</v>
      </c>
    </row>
    <row r="1675" spans="1:7" x14ac:dyDescent="0.2">
      <c r="A1675" s="944">
        <v>39085205800</v>
      </c>
      <c r="B1675" s="239" t="s">
        <v>1681</v>
      </c>
      <c r="C1675" s="286" t="s">
        <v>2975</v>
      </c>
      <c r="D1675" s="865" t="s">
        <v>2975</v>
      </c>
      <c r="E1675" s="287" t="s">
        <v>3563</v>
      </c>
      <c r="F1675" s="287" t="s">
        <v>5177</v>
      </c>
      <c r="G1675" s="288" t="s">
        <v>3568</v>
      </c>
    </row>
    <row r="1676" spans="1:7" x14ac:dyDescent="0.2">
      <c r="A1676" s="944">
        <v>39085205900</v>
      </c>
      <c r="B1676" s="239" t="s">
        <v>1682</v>
      </c>
      <c r="C1676" s="286" t="s">
        <v>2975</v>
      </c>
      <c r="D1676" s="865" t="s">
        <v>2975</v>
      </c>
      <c r="E1676" s="287" t="s">
        <v>3562</v>
      </c>
      <c r="F1676" s="287" t="s">
        <v>5177</v>
      </c>
      <c r="G1676" s="288" t="s">
        <v>3568</v>
      </c>
    </row>
    <row r="1677" spans="1:7" x14ac:dyDescent="0.2">
      <c r="A1677" s="944">
        <v>39085206000</v>
      </c>
      <c r="B1677" s="239" t="s">
        <v>1683</v>
      </c>
      <c r="C1677" s="286" t="s">
        <v>2975</v>
      </c>
      <c r="D1677" s="865" t="s">
        <v>2975</v>
      </c>
      <c r="E1677" s="287" t="s">
        <v>3566</v>
      </c>
      <c r="F1677" s="287" t="s">
        <v>3558</v>
      </c>
      <c r="G1677" s="288" t="s">
        <v>3568</v>
      </c>
    </row>
    <row r="1678" spans="1:7" x14ac:dyDescent="0.2">
      <c r="A1678" s="944">
        <v>39085206100</v>
      </c>
      <c r="B1678" s="239" t="s">
        <v>1684</v>
      </c>
      <c r="C1678" s="286" t="s">
        <v>2975</v>
      </c>
      <c r="D1678" s="865" t="s">
        <v>2975</v>
      </c>
      <c r="E1678" s="287" t="s">
        <v>3564</v>
      </c>
      <c r="F1678" s="287" t="s">
        <v>5176</v>
      </c>
      <c r="G1678" s="288" t="s">
        <v>3569</v>
      </c>
    </row>
    <row r="1679" spans="1:7" x14ac:dyDescent="0.2">
      <c r="A1679" s="944">
        <v>39085206200</v>
      </c>
      <c r="B1679" s="239" t="s">
        <v>1685</v>
      </c>
      <c r="C1679" s="286" t="s">
        <v>2975</v>
      </c>
      <c r="D1679" s="865" t="s">
        <v>2975</v>
      </c>
      <c r="E1679" s="287" t="s">
        <v>3566</v>
      </c>
      <c r="F1679" s="287" t="s">
        <v>3558</v>
      </c>
      <c r="G1679" s="288" t="s">
        <v>3569</v>
      </c>
    </row>
    <row r="1680" spans="1:7" x14ac:dyDescent="0.2">
      <c r="A1680" s="944">
        <v>39085206300</v>
      </c>
      <c r="B1680" s="239" t="s">
        <v>1686</v>
      </c>
      <c r="C1680" s="286" t="s">
        <v>2975</v>
      </c>
      <c r="D1680" s="865" t="s">
        <v>2975</v>
      </c>
      <c r="E1680" s="287" t="s">
        <v>3566</v>
      </c>
      <c r="F1680" s="287" t="s">
        <v>3558</v>
      </c>
      <c r="G1680" s="288" t="s">
        <v>3569</v>
      </c>
    </row>
    <row r="1681" spans="1:7" x14ac:dyDescent="0.2">
      <c r="A1681" s="944">
        <v>39085206400</v>
      </c>
      <c r="B1681" s="239" t="s">
        <v>1687</v>
      </c>
      <c r="C1681" s="286" t="s">
        <v>2975</v>
      </c>
      <c r="D1681" s="865" t="s">
        <v>2975</v>
      </c>
      <c r="E1681" s="287" t="s">
        <v>3563</v>
      </c>
      <c r="F1681" s="287" t="s">
        <v>5176</v>
      </c>
      <c r="G1681" s="288" t="s">
        <v>3569</v>
      </c>
    </row>
    <row r="1682" spans="1:7" x14ac:dyDescent="0.2">
      <c r="A1682" s="944">
        <v>39085206500</v>
      </c>
      <c r="B1682" s="239" t="s">
        <v>1688</v>
      </c>
      <c r="C1682" s="286" t="s">
        <v>2975</v>
      </c>
      <c r="D1682" s="865" t="s">
        <v>2975</v>
      </c>
      <c r="E1682" s="287" t="s">
        <v>3562</v>
      </c>
      <c r="F1682" s="287" t="s">
        <v>3558</v>
      </c>
      <c r="G1682" s="288" t="s">
        <v>3569</v>
      </c>
    </row>
    <row r="1683" spans="1:7" x14ac:dyDescent="0.2">
      <c r="A1683" s="944">
        <v>39085206600</v>
      </c>
      <c r="B1683" s="239" t="s">
        <v>1689</v>
      </c>
      <c r="C1683" s="286" t="s">
        <v>2975</v>
      </c>
      <c r="D1683" s="865" t="s">
        <v>2975</v>
      </c>
      <c r="E1683" s="287" t="s">
        <v>3564</v>
      </c>
      <c r="F1683" s="287" t="s">
        <v>3558</v>
      </c>
      <c r="G1683" s="288" t="s">
        <v>3569</v>
      </c>
    </row>
    <row r="1684" spans="1:7" x14ac:dyDescent="0.2">
      <c r="A1684" s="944">
        <v>39087050100</v>
      </c>
      <c r="B1684" s="239" t="s">
        <v>1690</v>
      </c>
      <c r="C1684" s="286" t="s">
        <v>2975</v>
      </c>
      <c r="D1684" s="865" t="s">
        <v>2975</v>
      </c>
      <c r="E1684" s="287" t="s">
        <v>3564</v>
      </c>
      <c r="F1684" s="287" t="s">
        <v>3558</v>
      </c>
      <c r="G1684" s="288" t="s">
        <v>3569</v>
      </c>
    </row>
    <row r="1685" spans="1:7" x14ac:dyDescent="0.2">
      <c r="A1685" s="944">
        <v>39087050200</v>
      </c>
      <c r="B1685" s="239" t="s">
        <v>1691</v>
      </c>
      <c r="C1685" s="286" t="s">
        <v>2975</v>
      </c>
      <c r="D1685" s="865" t="s">
        <v>2975</v>
      </c>
      <c r="E1685" s="287" t="s">
        <v>3564</v>
      </c>
      <c r="F1685" s="287" t="s">
        <v>5176</v>
      </c>
      <c r="G1685" s="288" t="s">
        <v>3569</v>
      </c>
    </row>
    <row r="1686" spans="1:7" x14ac:dyDescent="0.2">
      <c r="A1686" s="944">
        <v>39087050300</v>
      </c>
      <c r="B1686" s="239" t="s">
        <v>1692</v>
      </c>
      <c r="C1686" s="286" t="s">
        <v>2975</v>
      </c>
      <c r="D1686" s="865" t="s">
        <v>2975</v>
      </c>
      <c r="E1686" s="287" t="s">
        <v>3557</v>
      </c>
      <c r="F1686" s="287" t="s">
        <v>5176</v>
      </c>
      <c r="G1686" s="288" t="s">
        <v>3569</v>
      </c>
    </row>
    <row r="1687" spans="1:7" x14ac:dyDescent="0.2">
      <c r="A1687" s="944">
        <v>39087050400</v>
      </c>
      <c r="B1687" s="239" t="s">
        <v>1693</v>
      </c>
      <c r="C1687" s="286" t="s">
        <v>2975</v>
      </c>
      <c r="D1687" s="865" t="s">
        <v>2975</v>
      </c>
      <c r="E1687" s="287" t="s">
        <v>3564</v>
      </c>
      <c r="F1687" s="287" t="s">
        <v>3565</v>
      </c>
      <c r="G1687" s="288" t="s">
        <v>3569</v>
      </c>
    </row>
    <row r="1688" spans="1:7" x14ac:dyDescent="0.2">
      <c r="A1688" s="944">
        <v>39087050500</v>
      </c>
      <c r="B1688" s="239" t="s">
        <v>1694</v>
      </c>
      <c r="C1688" s="286" t="s">
        <v>2975</v>
      </c>
      <c r="D1688" s="865" t="s">
        <v>2975</v>
      </c>
      <c r="E1688" s="287" t="s">
        <v>3557</v>
      </c>
      <c r="F1688" s="287" t="s">
        <v>5176</v>
      </c>
      <c r="G1688" s="288" t="s">
        <v>3568</v>
      </c>
    </row>
    <row r="1689" spans="1:7" x14ac:dyDescent="0.2">
      <c r="A1689" s="944">
        <v>39087050600</v>
      </c>
      <c r="B1689" s="239" t="s">
        <v>1695</v>
      </c>
      <c r="C1689" s="286" t="s">
        <v>2975</v>
      </c>
      <c r="D1689" s="865" t="s">
        <v>2975</v>
      </c>
      <c r="E1689" s="287" t="s">
        <v>3557</v>
      </c>
      <c r="F1689" s="287" t="s">
        <v>5176</v>
      </c>
      <c r="G1689" s="288" t="s">
        <v>3568</v>
      </c>
    </row>
    <row r="1690" spans="1:7" x14ac:dyDescent="0.2">
      <c r="A1690" s="944">
        <v>39087050700</v>
      </c>
      <c r="B1690" s="239" t="s">
        <v>1696</v>
      </c>
      <c r="C1690" s="286" t="s">
        <v>2975</v>
      </c>
      <c r="D1690" s="865" t="s">
        <v>2975</v>
      </c>
      <c r="E1690" s="287" t="s">
        <v>3557</v>
      </c>
      <c r="F1690" s="287" t="s">
        <v>5176</v>
      </c>
      <c r="G1690" s="288" t="s">
        <v>3568</v>
      </c>
    </row>
    <row r="1691" spans="1:7" x14ac:dyDescent="0.2">
      <c r="A1691" s="944">
        <v>39087050800</v>
      </c>
      <c r="B1691" s="239" t="s">
        <v>1697</v>
      </c>
      <c r="C1691" s="286" t="s">
        <v>2975</v>
      </c>
      <c r="D1691" s="865" t="s">
        <v>4330</v>
      </c>
      <c r="E1691" s="287" t="s">
        <v>3557</v>
      </c>
      <c r="F1691" s="287" t="s">
        <v>3559</v>
      </c>
      <c r="G1691" s="288" t="s">
        <v>3568</v>
      </c>
    </row>
    <row r="1692" spans="1:7" x14ac:dyDescent="0.2">
      <c r="A1692" s="944">
        <v>39087050900</v>
      </c>
      <c r="B1692" s="239" t="s">
        <v>1698</v>
      </c>
      <c r="C1692" s="286" t="s">
        <v>2975</v>
      </c>
      <c r="D1692" s="865" t="s">
        <v>2975</v>
      </c>
      <c r="E1692" s="287" t="s">
        <v>3564</v>
      </c>
      <c r="F1692" s="287" t="s">
        <v>5177</v>
      </c>
      <c r="G1692" s="288" t="s">
        <v>3569</v>
      </c>
    </row>
    <row r="1693" spans="1:7" x14ac:dyDescent="0.2">
      <c r="A1693" s="944">
        <v>39087051001</v>
      </c>
      <c r="B1693" s="239" t="s">
        <v>1699</v>
      </c>
      <c r="C1693" s="286" t="s">
        <v>2975</v>
      </c>
      <c r="D1693" s="865" t="s">
        <v>2975</v>
      </c>
      <c r="E1693" s="287" t="s">
        <v>3564</v>
      </c>
      <c r="F1693" s="287" t="s">
        <v>3565</v>
      </c>
      <c r="G1693" s="288" t="s">
        <v>3569</v>
      </c>
    </row>
    <row r="1694" spans="1:7" x14ac:dyDescent="0.2">
      <c r="A1694" s="944">
        <v>39087051002</v>
      </c>
      <c r="B1694" s="239" t="s">
        <v>1700</v>
      </c>
      <c r="C1694" s="286" t="s">
        <v>4330</v>
      </c>
      <c r="D1694" s="865" t="s">
        <v>4330</v>
      </c>
      <c r="E1694" s="287" t="s">
        <v>3557</v>
      </c>
      <c r="F1694" s="287" t="s">
        <v>5176</v>
      </c>
      <c r="G1694" s="288" t="s">
        <v>3568</v>
      </c>
    </row>
    <row r="1695" spans="1:7" x14ac:dyDescent="0.2">
      <c r="A1695" s="944">
        <v>39087051100</v>
      </c>
      <c r="B1695" s="239" t="s">
        <v>1701</v>
      </c>
      <c r="C1695" s="286" t="s">
        <v>2975</v>
      </c>
      <c r="D1695" s="865" t="s">
        <v>2975</v>
      </c>
      <c r="E1695" s="287" t="s">
        <v>3564</v>
      </c>
      <c r="F1695" s="287" t="s">
        <v>5177</v>
      </c>
      <c r="G1695" s="288" t="s">
        <v>3568</v>
      </c>
    </row>
    <row r="1696" spans="1:7" x14ac:dyDescent="0.2">
      <c r="A1696" s="944">
        <v>39087051200</v>
      </c>
      <c r="B1696" s="239" t="s">
        <v>1702</v>
      </c>
      <c r="C1696" s="286" t="s">
        <v>2975</v>
      </c>
      <c r="D1696" s="865" t="s">
        <v>2975</v>
      </c>
      <c r="E1696" s="287" t="s">
        <v>3566</v>
      </c>
      <c r="F1696" s="287" t="s">
        <v>3559</v>
      </c>
      <c r="G1696" s="288" t="s">
        <v>3568</v>
      </c>
    </row>
    <row r="1697" spans="1:7" x14ac:dyDescent="0.2">
      <c r="A1697" s="944">
        <v>39087051300</v>
      </c>
      <c r="B1697" s="239" t="s">
        <v>1703</v>
      </c>
      <c r="C1697" s="286" t="s">
        <v>2975</v>
      </c>
      <c r="D1697" s="865" t="s">
        <v>2975</v>
      </c>
      <c r="E1697" s="287" t="s">
        <v>3564</v>
      </c>
      <c r="F1697" s="287" t="s">
        <v>3565</v>
      </c>
      <c r="G1697" s="288" t="s">
        <v>3568</v>
      </c>
    </row>
    <row r="1698" spans="1:7" x14ac:dyDescent="0.2">
      <c r="A1698" s="944">
        <v>39087051401</v>
      </c>
      <c r="B1698" s="239" t="s">
        <v>1704</v>
      </c>
      <c r="C1698" s="286" t="s">
        <v>2975</v>
      </c>
      <c r="D1698" s="865" t="s">
        <v>2975</v>
      </c>
      <c r="E1698" s="287" t="s">
        <v>3564</v>
      </c>
      <c r="F1698" s="287" t="s">
        <v>5176</v>
      </c>
      <c r="G1698" s="288" t="s">
        <v>3569</v>
      </c>
    </row>
    <row r="1699" spans="1:7" x14ac:dyDescent="0.2">
      <c r="A1699" s="944">
        <v>39087051402</v>
      </c>
      <c r="B1699" s="239" t="s">
        <v>1705</v>
      </c>
      <c r="C1699" s="286" t="s">
        <v>2975</v>
      </c>
      <c r="D1699" s="865" t="s">
        <v>2975</v>
      </c>
      <c r="E1699" s="287" t="s">
        <v>3564</v>
      </c>
      <c r="F1699" s="287" t="s">
        <v>3559</v>
      </c>
      <c r="G1699" s="288" t="s">
        <v>3568</v>
      </c>
    </row>
    <row r="1700" spans="1:7" x14ac:dyDescent="0.2">
      <c r="A1700" s="944">
        <v>39089750700</v>
      </c>
      <c r="B1700" s="239" t="s">
        <v>1706</v>
      </c>
      <c r="C1700" s="286" t="s">
        <v>4330</v>
      </c>
      <c r="D1700" s="865" t="s">
        <v>4330</v>
      </c>
      <c r="E1700" s="287" t="s">
        <v>3566</v>
      </c>
      <c r="F1700" s="287" t="s">
        <v>5176</v>
      </c>
      <c r="G1700" s="288" t="s">
        <v>3553</v>
      </c>
    </row>
    <row r="1701" spans="1:7" x14ac:dyDescent="0.2">
      <c r="A1701" s="944">
        <v>39089751000</v>
      </c>
      <c r="B1701" s="239" t="s">
        <v>1707</v>
      </c>
      <c r="C1701" s="286" t="s">
        <v>2975</v>
      </c>
      <c r="D1701" s="865" t="s">
        <v>4330</v>
      </c>
      <c r="E1701" s="287" t="s">
        <v>3563</v>
      </c>
      <c r="F1701" s="287" t="s">
        <v>3559</v>
      </c>
      <c r="G1701" s="288" t="s">
        <v>3553</v>
      </c>
    </row>
    <row r="1702" spans="1:7" x14ac:dyDescent="0.2">
      <c r="A1702" s="944">
        <v>39089751300</v>
      </c>
      <c r="B1702" s="239" t="s">
        <v>1708</v>
      </c>
      <c r="C1702" s="286" t="s">
        <v>2975</v>
      </c>
      <c r="D1702" s="865" t="s">
        <v>2975</v>
      </c>
      <c r="E1702" s="287" t="s">
        <v>3562</v>
      </c>
      <c r="F1702" s="287" t="s">
        <v>3559</v>
      </c>
      <c r="G1702" s="288" t="s">
        <v>3553</v>
      </c>
    </row>
    <row r="1703" spans="1:7" x14ac:dyDescent="0.2">
      <c r="A1703" s="944">
        <v>39089751600</v>
      </c>
      <c r="B1703" s="239" t="s">
        <v>1709</v>
      </c>
      <c r="C1703" s="286" t="s">
        <v>2975</v>
      </c>
      <c r="D1703" s="865" t="s">
        <v>2975</v>
      </c>
      <c r="E1703" s="287" t="s">
        <v>3562</v>
      </c>
      <c r="F1703" s="287" t="s">
        <v>5176</v>
      </c>
      <c r="G1703" s="288" t="s">
        <v>3553</v>
      </c>
    </row>
    <row r="1704" spans="1:7" x14ac:dyDescent="0.2">
      <c r="A1704" s="944">
        <v>39089751900</v>
      </c>
      <c r="B1704" s="239" t="s">
        <v>1710</v>
      </c>
      <c r="C1704" s="286" t="s">
        <v>2975</v>
      </c>
      <c r="D1704" s="865" t="s">
        <v>2975</v>
      </c>
      <c r="E1704" s="287" t="s">
        <v>3557</v>
      </c>
      <c r="F1704" s="287" t="s">
        <v>5176</v>
      </c>
      <c r="G1704" s="288" t="s">
        <v>3569</v>
      </c>
    </row>
    <row r="1705" spans="1:7" x14ac:dyDescent="0.2">
      <c r="A1705" s="944">
        <v>39089752200</v>
      </c>
      <c r="B1705" s="239" t="s">
        <v>1711</v>
      </c>
      <c r="C1705" s="286" t="s">
        <v>2975</v>
      </c>
      <c r="D1705" s="865" t="s">
        <v>2975</v>
      </c>
      <c r="E1705" s="287" t="s">
        <v>3557</v>
      </c>
      <c r="F1705" s="287" t="s">
        <v>3559</v>
      </c>
      <c r="G1705" s="288" t="s">
        <v>3569</v>
      </c>
    </row>
    <row r="1706" spans="1:7" x14ac:dyDescent="0.2">
      <c r="A1706" s="944">
        <v>39089752500</v>
      </c>
      <c r="B1706" s="239" t="s">
        <v>1712</v>
      </c>
      <c r="C1706" s="286" t="s">
        <v>4330</v>
      </c>
      <c r="D1706" s="865" t="s">
        <v>4330</v>
      </c>
      <c r="E1706" s="287" t="s">
        <v>3557</v>
      </c>
      <c r="F1706" s="287" t="s">
        <v>3565</v>
      </c>
      <c r="G1706" s="288" t="s">
        <v>3569</v>
      </c>
    </row>
    <row r="1707" spans="1:7" x14ac:dyDescent="0.2">
      <c r="A1707" s="944">
        <v>39089752800</v>
      </c>
      <c r="B1707" s="239" t="s">
        <v>1713</v>
      </c>
      <c r="C1707" s="286" t="s">
        <v>2975</v>
      </c>
      <c r="D1707" s="865" t="s">
        <v>2975</v>
      </c>
      <c r="E1707" s="287" t="s">
        <v>3566</v>
      </c>
      <c r="F1707" s="287" t="s">
        <v>5177</v>
      </c>
      <c r="G1707" s="288" t="s">
        <v>3569</v>
      </c>
    </row>
    <row r="1708" spans="1:7" x14ac:dyDescent="0.2">
      <c r="A1708" s="944">
        <v>39089753100</v>
      </c>
      <c r="B1708" s="239" t="s">
        <v>1714</v>
      </c>
      <c r="C1708" s="286" t="s">
        <v>2975</v>
      </c>
      <c r="D1708" s="865" t="s">
        <v>2975</v>
      </c>
      <c r="E1708" s="287" t="s">
        <v>3564</v>
      </c>
      <c r="F1708" s="287" t="s">
        <v>5176</v>
      </c>
      <c r="G1708" s="288" t="s">
        <v>3569</v>
      </c>
    </row>
    <row r="1709" spans="1:7" x14ac:dyDescent="0.2">
      <c r="A1709" s="944">
        <v>39089753300</v>
      </c>
      <c r="B1709" s="239" t="s">
        <v>1715</v>
      </c>
      <c r="C1709" s="286" t="s">
        <v>2975</v>
      </c>
      <c r="D1709" s="865" t="s">
        <v>2975</v>
      </c>
      <c r="E1709" s="287" t="s">
        <v>3566</v>
      </c>
      <c r="F1709" s="287" t="s">
        <v>5177</v>
      </c>
      <c r="G1709" s="288" t="s">
        <v>3569</v>
      </c>
    </row>
    <row r="1710" spans="1:7" x14ac:dyDescent="0.2">
      <c r="A1710" s="944">
        <v>39089753600</v>
      </c>
      <c r="B1710" s="239" t="s">
        <v>1716</v>
      </c>
      <c r="C1710" s="286" t="s">
        <v>2975</v>
      </c>
      <c r="D1710" s="865" t="s">
        <v>2975</v>
      </c>
      <c r="E1710" s="287" t="s">
        <v>3562</v>
      </c>
      <c r="F1710" s="287" t="s">
        <v>5177</v>
      </c>
      <c r="G1710" s="288" t="s">
        <v>3553</v>
      </c>
    </row>
    <row r="1711" spans="1:7" x14ac:dyDescent="0.2">
      <c r="A1711" s="944">
        <v>39089753900</v>
      </c>
      <c r="B1711" s="239" t="s">
        <v>1717</v>
      </c>
      <c r="C1711" s="286" t="s">
        <v>2975</v>
      </c>
      <c r="D1711" s="865" t="s">
        <v>2975</v>
      </c>
      <c r="E1711" s="287" t="s">
        <v>3566</v>
      </c>
      <c r="F1711" s="287" t="s">
        <v>3558</v>
      </c>
      <c r="G1711" s="288" t="s">
        <v>3569</v>
      </c>
    </row>
    <row r="1712" spans="1:7" x14ac:dyDescent="0.2">
      <c r="A1712" s="944">
        <v>39089754101</v>
      </c>
      <c r="B1712" s="239" t="s">
        <v>1718</v>
      </c>
      <c r="C1712" s="286" t="s">
        <v>2975</v>
      </c>
      <c r="D1712" s="865" t="s">
        <v>2975</v>
      </c>
      <c r="E1712" s="287" t="s">
        <v>3566</v>
      </c>
      <c r="F1712" s="287" t="s">
        <v>3559</v>
      </c>
      <c r="G1712" s="288" t="s">
        <v>3569</v>
      </c>
    </row>
    <row r="1713" spans="1:7" x14ac:dyDescent="0.2">
      <c r="A1713" s="944">
        <v>39089754102</v>
      </c>
      <c r="B1713" s="239" t="s">
        <v>1719</v>
      </c>
      <c r="C1713" s="286" t="s">
        <v>2975</v>
      </c>
      <c r="D1713" s="865" t="s">
        <v>2975</v>
      </c>
      <c r="E1713" s="287" t="s">
        <v>3563</v>
      </c>
      <c r="F1713" s="287" t="s">
        <v>5176</v>
      </c>
      <c r="G1713" s="288" t="s">
        <v>3568</v>
      </c>
    </row>
    <row r="1714" spans="1:7" x14ac:dyDescent="0.2">
      <c r="A1714" s="944">
        <v>39089754400</v>
      </c>
      <c r="B1714" s="239" t="s">
        <v>1720</v>
      </c>
      <c r="C1714" s="286" t="s">
        <v>2975</v>
      </c>
      <c r="D1714" s="865" t="s">
        <v>2975</v>
      </c>
      <c r="E1714" s="287" t="s">
        <v>3564</v>
      </c>
      <c r="F1714" s="287" t="s">
        <v>5177</v>
      </c>
      <c r="G1714" s="288" t="s">
        <v>3568</v>
      </c>
    </row>
    <row r="1715" spans="1:7" x14ac:dyDescent="0.2">
      <c r="A1715" s="944">
        <v>39089754700</v>
      </c>
      <c r="B1715" s="239" t="s">
        <v>1721</v>
      </c>
      <c r="C1715" s="286" t="s">
        <v>2975</v>
      </c>
      <c r="D1715" s="865" t="s">
        <v>2975</v>
      </c>
      <c r="E1715" s="287" t="s">
        <v>3557</v>
      </c>
      <c r="F1715" s="287" t="s">
        <v>3565</v>
      </c>
      <c r="G1715" s="288" t="s">
        <v>3568</v>
      </c>
    </row>
    <row r="1716" spans="1:7" x14ac:dyDescent="0.2">
      <c r="A1716" s="944">
        <v>39089755000</v>
      </c>
      <c r="B1716" s="239" t="s">
        <v>1722</v>
      </c>
      <c r="C1716" s="286" t="s">
        <v>2975</v>
      </c>
      <c r="D1716" s="865" t="s">
        <v>2975</v>
      </c>
      <c r="E1716" s="287" t="s">
        <v>3562</v>
      </c>
      <c r="F1716" s="287" t="s">
        <v>3565</v>
      </c>
      <c r="G1716" s="288" t="s">
        <v>3568</v>
      </c>
    </row>
    <row r="1717" spans="1:7" x14ac:dyDescent="0.2">
      <c r="A1717" s="944">
        <v>39089755300</v>
      </c>
      <c r="B1717" s="239" t="s">
        <v>1723</v>
      </c>
      <c r="C1717" s="286" t="s">
        <v>2975</v>
      </c>
      <c r="D1717" s="865" t="s">
        <v>2975</v>
      </c>
      <c r="E1717" s="287" t="s">
        <v>3563</v>
      </c>
      <c r="F1717" s="287" t="s">
        <v>3559</v>
      </c>
      <c r="G1717" s="288" t="s">
        <v>3568</v>
      </c>
    </row>
    <row r="1718" spans="1:7" x14ac:dyDescent="0.2">
      <c r="A1718" s="944">
        <v>39089755600</v>
      </c>
      <c r="B1718" s="239" t="s">
        <v>1724</v>
      </c>
      <c r="C1718" s="286" t="s">
        <v>2975</v>
      </c>
      <c r="D1718" s="865" t="s">
        <v>2975</v>
      </c>
      <c r="E1718" s="287" t="s">
        <v>3562</v>
      </c>
      <c r="F1718" s="287" t="s">
        <v>5177</v>
      </c>
      <c r="G1718" s="288" t="s">
        <v>3568</v>
      </c>
    </row>
    <row r="1719" spans="1:7" x14ac:dyDescent="0.2">
      <c r="A1719" s="944">
        <v>39089755900</v>
      </c>
      <c r="B1719" s="239" t="s">
        <v>1725</v>
      </c>
      <c r="C1719" s="286" t="s">
        <v>2975</v>
      </c>
      <c r="D1719" s="865" t="s">
        <v>2975</v>
      </c>
      <c r="E1719" s="287" t="s">
        <v>3566</v>
      </c>
      <c r="F1719" s="287" t="s">
        <v>3558</v>
      </c>
      <c r="G1719" s="288" t="s">
        <v>3569</v>
      </c>
    </row>
    <row r="1720" spans="1:7" x14ac:dyDescent="0.2">
      <c r="A1720" s="944">
        <v>39089756201</v>
      </c>
      <c r="B1720" s="239" t="s">
        <v>1726</v>
      </c>
      <c r="C1720" s="286" t="s">
        <v>2975</v>
      </c>
      <c r="D1720" s="865" t="s">
        <v>2975</v>
      </c>
      <c r="E1720" s="287" t="s">
        <v>3563</v>
      </c>
      <c r="F1720" s="287" t="s">
        <v>3559</v>
      </c>
      <c r="G1720" s="288" t="s">
        <v>3569</v>
      </c>
    </row>
    <row r="1721" spans="1:7" x14ac:dyDescent="0.2">
      <c r="A1721" s="944">
        <v>39089756202</v>
      </c>
      <c r="B1721" s="239" t="s">
        <v>1727</v>
      </c>
      <c r="C1721" s="286" t="s">
        <v>2975</v>
      </c>
      <c r="D1721" s="865" t="s">
        <v>2975</v>
      </c>
      <c r="E1721" s="287" t="s">
        <v>3566</v>
      </c>
      <c r="F1721" s="287" t="s">
        <v>3565</v>
      </c>
      <c r="G1721" s="288" t="s">
        <v>3569</v>
      </c>
    </row>
    <row r="1722" spans="1:7" x14ac:dyDescent="0.2">
      <c r="A1722" s="944">
        <v>39089756500</v>
      </c>
      <c r="B1722" s="239" t="s">
        <v>1728</v>
      </c>
      <c r="C1722" s="286" t="s">
        <v>2975</v>
      </c>
      <c r="D1722" s="865" t="s">
        <v>2975</v>
      </c>
      <c r="E1722" s="287" t="s">
        <v>3564</v>
      </c>
      <c r="F1722" s="287" t="s">
        <v>3558</v>
      </c>
      <c r="G1722" s="288" t="s">
        <v>3569</v>
      </c>
    </row>
    <row r="1723" spans="1:7" x14ac:dyDescent="0.2">
      <c r="A1723" s="944">
        <v>39089756800</v>
      </c>
      <c r="B1723" s="239" t="s">
        <v>1729</v>
      </c>
      <c r="C1723" s="286" t="s">
        <v>2975</v>
      </c>
      <c r="D1723" s="865" t="s">
        <v>2975</v>
      </c>
      <c r="E1723" s="287" t="s">
        <v>3566</v>
      </c>
      <c r="F1723" s="287" t="s">
        <v>5176</v>
      </c>
      <c r="G1723" s="288" t="s">
        <v>3569</v>
      </c>
    </row>
    <row r="1724" spans="1:7" x14ac:dyDescent="0.2">
      <c r="A1724" s="944">
        <v>39089757100</v>
      </c>
      <c r="B1724" s="239" t="s">
        <v>1730</v>
      </c>
      <c r="C1724" s="286" t="s">
        <v>2975</v>
      </c>
      <c r="D1724" s="865" t="s">
        <v>2975</v>
      </c>
      <c r="E1724" s="287" t="s">
        <v>3562</v>
      </c>
      <c r="F1724" s="287" t="s">
        <v>5177</v>
      </c>
      <c r="G1724" s="288" t="s">
        <v>3568</v>
      </c>
    </row>
    <row r="1725" spans="1:7" x14ac:dyDescent="0.2">
      <c r="A1725" s="944">
        <v>39089757400</v>
      </c>
      <c r="B1725" s="239" t="s">
        <v>1731</v>
      </c>
      <c r="C1725" s="286" t="s">
        <v>2975</v>
      </c>
      <c r="D1725" s="865" t="s">
        <v>2975</v>
      </c>
      <c r="E1725" s="287" t="s">
        <v>3562</v>
      </c>
      <c r="F1725" s="287" t="s">
        <v>3559</v>
      </c>
      <c r="G1725" s="288" t="s">
        <v>3568</v>
      </c>
    </row>
    <row r="1726" spans="1:7" x14ac:dyDescent="0.2">
      <c r="A1726" s="944">
        <v>39089757700</v>
      </c>
      <c r="B1726" s="239" t="s">
        <v>1732</v>
      </c>
      <c r="C1726" s="286" t="s">
        <v>2975</v>
      </c>
      <c r="D1726" s="865" t="s">
        <v>2975</v>
      </c>
      <c r="E1726" s="287" t="s">
        <v>3562</v>
      </c>
      <c r="F1726" s="287" t="s">
        <v>3565</v>
      </c>
      <c r="G1726" s="288" t="s">
        <v>3568</v>
      </c>
    </row>
    <row r="1727" spans="1:7" x14ac:dyDescent="0.2">
      <c r="A1727" s="944">
        <v>39089758300</v>
      </c>
      <c r="B1727" s="239" t="s">
        <v>1733</v>
      </c>
      <c r="C1727" s="286" t="s">
        <v>2975</v>
      </c>
      <c r="D1727" s="865" t="s">
        <v>2975</v>
      </c>
      <c r="E1727" s="287" t="s">
        <v>3557</v>
      </c>
      <c r="F1727" s="287" t="s">
        <v>5177</v>
      </c>
      <c r="G1727" s="288" t="s">
        <v>3569</v>
      </c>
    </row>
    <row r="1728" spans="1:7" x14ac:dyDescent="0.2">
      <c r="A1728" s="944">
        <v>39089758600</v>
      </c>
      <c r="B1728" s="239" t="s">
        <v>1734</v>
      </c>
      <c r="C1728" s="286" t="s">
        <v>2975</v>
      </c>
      <c r="D1728" s="865" t="s">
        <v>2975</v>
      </c>
      <c r="E1728" s="287" t="s">
        <v>3563</v>
      </c>
      <c r="F1728" s="287" t="s">
        <v>3559</v>
      </c>
      <c r="G1728" s="288" t="s">
        <v>3568</v>
      </c>
    </row>
    <row r="1729" spans="1:7" x14ac:dyDescent="0.2">
      <c r="A1729" s="944">
        <v>39089758900</v>
      </c>
      <c r="B1729" s="239" t="s">
        <v>1735</v>
      </c>
      <c r="C1729" s="286" t="s">
        <v>2975</v>
      </c>
      <c r="D1729" s="865" t="s">
        <v>2975</v>
      </c>
      <c r="E1729" s="287" t="s">
        <v>3564</v>
      </c>
      <c r="F1729" s="287" t="s">
        <v>3559</v>
      </c>
      <c r="G1729" s="288" t="s">
        <v>3568</v>
      </c>
    </row>
    <row r="1730" spans="1:7" x14ac:dyDescent="0.2">
      <c r="A1730" s="944">
        <v>39089759000</v>
      </c>
      <c r="B1730" s="239" t="s">
        <v>1736</v>
      </c>
      <c r="C1730" s="286" t="s">
        <v>4330</v>
      </c>
      <c r="D1730" s="865" t="s">
        <v>4330</v>
      </c>
      <c r="E1730" s="287" t="s">
        <v>3564</v>
      </c>
      <c r="F1730" s="287" t="s">
        <v>3565</v>
      </c>
      <c r="G1730" s="288" t="s">
        <v>3553</v>
      </c>
    </row>
    <row r="1731" spans="1:7" x14ac:dyDescent="0.2">
      <c r="A1731" s="944">
        <v>39089759100</v>
      </c>
      <c r="B1731" s="239" t="s">
        <v>1737</v>
      </c>
      <c r="C1731" s="286" t="s">
        <v>2975</v>
      </c>
      <c r="D1731" s="865" t="s">
        <v>2975</v>
      </c>
      <c r="E1731" s="287" t="s">
        <v>3563</v>
      </c>
      <c r="F1731" s="287" t="s">
        <v>3565</v>
      </c>
      <c r="G1731" s="288" t="s">
        <v>3568</v>
      </c>
    </row>
    <row r="1732" spans="1:7" x14ac:dyDescent="0.2">
      <c r="A1732" s="944">
        <v>39091003800</v>
      </c>
      <c r="B1732" s="239" t="s">
        <v>1738</v>
      </c>
      <c r="C1732" s="286" t="s">
        <v>2975</v>
      </c>
      <c r="D1732" s="865" t="s">
        <v>2975</v>
      </c>
      <c r="E1732" s="287" t="s">
        <v>3566</v>
      </c>
      <c r="F1732" s="287" t="s">
        <v>3565</v>
      </c>
      <c r="G1732" s="288" t="s">
        <v>3568</v>
      </c>
    </row>
    <row r="1733" spans="1:7" x14ac:dyDescent="0.2">
      <c r="A1733" s="944">
        <v>39091003900</v>
      </c>
      <c r="B1733" s="239" t="s">
        <v>1739</v>
      </c>
      <c r="C1733" s="286" t="s">
        <v>2975</v>
      </c>
      <c r="D1733" s="865" t="s">
        <v>2975</v>
      </c>
      <c r="E1733" s="287" t="s">
        <v>3563</v>
      </c>
      <c r="F1733" s="287" t="s">
        <v>3558</v>
      </c>
      <c r="G1733" s="288" t="s">
        <v>3568</v>
      </c>
    </row>
    <row r="1734" spans="1:7" x14ac:dyDescent="0.2">
      <c r="A1734" s="944">
        <v>39091004000</v>
      </c>
      <c r="B1734" s="239" t="s">
        <v>1740</v>
      </c>
      <c r="C1734" s="286" t="s">
        <v>2975</v>
      </c>
      <c r="D1734" s="865" t="s">
        <v>2975</v>
      </c>
      <c r="E1734" s="287" t="s">
        <v>3566</v>
      </c>
      <c r="F1734" s="287" t="s">
        <v>3558</v>
      </c>
      <c r="G1734" s="288" t="s">
        <v>3568</v>
      </c>
    </row>
    <row r="1735" spans="1:7" x14ac:dyDescent="0.2">
      <c r="A1735" s="944">
        <v>39091004100</v>
      </c>
      <c r="B1735" s="239" t="s">
        <v>1741</v>
      </c>
      <c r="C1735" s="286" t="s">
        <v>2975</v>
      </c>
      <c r="D1735" s="865" t="s">
        <v>2975</v>
      </c>
      <c r="E1735" s="287" t="s">
        <v>3557</v>
      </c>
      <c r="F1735" s="287" t="s">
        <v>3558</v>
      </c>
      <c r="G1735" s="288" t="s">
        <v>3568</v>
      </c>
    </row>
    <row r="1736" spans="1:7" x14ac:dyDescent="0.2">
      <c r="A1736" s="944">
        <v>39091004200</v>
      </c>
      <c r="B1736" s="239" t="s">
        <v>1742</v>
      </c>
      <c r="C1736" s="286" t="s">
        <v>4330</v>
      </c>
      <c r="D1736" s="865" t="s">
        <v>4330</v>
      </c>
      <c r="E1736" s="287" t="s">
        <v>3557</v>
      </c>
      <c r="F1736" s="287" t="s">
        <v>3559</v>
      </c>
      <c r="G1736" s="288" t="s">
        <v>3568</v>
      </c>
    </row>
    <row r="1737" spans="1:7" x14ac:dyDescent="0.2">
      <c r="A1737" s="944">
        <v>39091004300</v>
      </c>
      <c r="B1737" s="239" t="s">
        <v>1743</v>
      </c>
      <c r="C1737" s="286" t="s">
        <v>2975</v>
      </c>
      <c r="D1737" s="865" t="s">
        <v>2975</v>
      </c>
      <c r="E1737" s="287" t="s">
        <v>3566</v>
      </c>
      <c r="F1737" s="287" t="s">
        <v>5177</v>
      </c>
      <c r="G1737" s="288" t="s">
        <v>3568</v>
      </c>
    </row>
    <row r="1738" spans="1:7" x14ac:dyDescent="0.2">
      <c r="A1738" s="944">
        <v>39091004400</v>
      </c>
      <c r="B1738" s="239" t="s">
        <v>1744</v>
      </c>
      <c r="C1738" s="286" t="s">
        <v>2975</v>
      </c>
      <c r="D1738" s="865" t="s">
        <v>2975</v>
      </c>
      <c r="E1738" s="287" t="s">
        <v>3564</v>
      </c>
      <c r="F1738" s="287" t="s">
        <v>3565</v>
      </c>
      <c r="G1738" s="288" t="s">
        <v>3568</v>
      </c>
    </row>
    <row r="1739" spans="1:7" x14ac:dyDescent="0.2">
      <c r="A1739" s="944">
        <v>39091004500</v>
      </c>
      <c r="B1739" s="239" t="s">
        <v>1745</v>
      </c>
      <c r="C1739" s="286" t="s">
        <v>2975</v>
      </c>
      <c r="D1739" s="865" t="s">
        <v>2975</v>
      </c>
      <c r="E1739" s="287" t="s">
        <v>3562</v>
      </c>
      <c r="F1739" s="287" t="s">
        <v>5177</v>
      </c>
      <c r="G1739" s="288" t="s">
        <v>5175</v>
      </c>
    </row>
    <row r="1740" spans="1:7" x14ac:dyDescent="0.2">
      <c r="A1740" s="944">
        <v>39091004600</v>
      </c>
      <c r="B1740" s="239" t="s">
        <v>1746</v>
      </c>
      <c r="C1740" s="286" t="s">
        <v>2975</v>
      </c>
      <c r="D1740" s="865" t="s">
        <v>2975</v>
      </c>
      <c r="E1740" s="287" t="s">
        <v>3566</v>
      </c>
      <c r="F1740" s="287" t="s">
        <v>3558</v>
      </c>
      <c r="G1740" s="288" t="s">
        <v>3568</v>
      </c>
    </row>
    <row r="1741" spans="1:7" x14ac:dyDescent="0.2">
      <c r="A1741" s="944">
        <v>39091004700</v>
      </c>
      <c r="B1741" s="239" t="s">
        <v>1747</v>
      </c>
      <c r="C1741" s="286" t="s">
        <v>2975</v>
      </c>
      <c r="D1741" s="865" t="s">
        <v>2975</v>
      </c>
      <c r="E1741" s="287" t="s">
        <v>3562</v>
      </c>
      <c r="F1741" s="287" t="s">
        <v>3565</v>
      </c>
      <c r="G1741" s="288" t="s">
        <v>3568</v>
      </c>
    </row>
    <row r="1742" spans="1:7" x14ac:dyDescent="0.2">
      <c r="A1742" s="944">
        <v>39091004800</v>
      </c>
      <c r="B1742" s="239" t="s">
        <v>1748</v>
      </c>
      <c r="C1742" s="286" t="s">
        <v>2975</v>
      </c>
      <c r="D1742" s="865" t="s">
        <v>2975</v>
      </c>
      <c r="E1742" s="287" t="s">
        <v>3563</v>
      </c>
      <c r="F1742" s="287" t="s">
        <v>3558</v>
      </c>
      <c r="G1742" s="288" t="s">
        <v>3568</v>
      </c>
    </row>
    <row r="1743" spans="1:7" x14ac:dyDescent="0.2">
      <c r="A1743" s="944">
        <v>39093010200</v>
      </c>
      <c r="B1743" s="239" t="s">
        <v>1749</v>
      </c>
      <c r="C1743" s="286" t="s">
        <v>2975</v>
      </c>
      <c r="D1743" s="865" t="s">
        <v>2975</v>
      </c>
      <c r="E1743" s="287" t="s">
        <v>3562</v>
      </c>
      <c r="F1743" s="287" t="s">
        <v>3559</v>
      </c>
      <c r="G1743" s="288" t="s">
        <v>3569</v>
      </c>
    </row>
    <row r="1744" spans="1:7" x14ac:dyDescent="0.2">
      <c r="A1744" s="944">
        <v>39093010300</v>
      </c>
      <c r="B1744" s="239" t="s">
        <v>1750</v>
      </c>
      <c r="C1744" s="286" t="s">
        <v>2975</v>
      </c>
      <c r="D1744" s="865" t="s">
        <v>2975</v>
      </c>
      <c r="E1744" s="287" t="s">
        <v>3562</v>
      </c>
      <c r="F1744" s="287" t="s">
        <v>3559</v>
      </c>
      <c r="G1744" s="288" t="s">
        <v>3569</v>
      </c>
    </row>
    <row r="1745" spans="1:7" x14ac:dyDescent="0.2">
      <c r="A1745" s="944">
        <v>39093010400</v>
      </c>
      <c r="B1745" s="239" t="s">
        <v>1751</v>
      </c>
      <c r="C1745" s="286" t="s">
        <v>2975</v>
      </c>
      <c r="D1745" s="865" t="s">
        <v>2975</v>
      </c>
      <c r="E1745" s="287" t="s">
        <v>3563</v>
      </c>
      <c r="F1745" s="287" t="s">
        <v>3559</v>
      </c>
      <c r="G1745" s="288" t="s">
        <v>3569</v>
      </c>
    </row>
    <row r="1746" spans="1:7" x14ac:dyDescent="0.2">
      <c r="A1746" s="944">
        <v>39093013100</v>
      </c>
      <c r="B1746" s="239" t="s">
        <v>1752</v>
      </c>
      <c r="C1746" s="286" t="s">
        <v>2975</v>
      </c>
      <c r="D1746" s="865" t="s">
        <v>2975</v>
      </c>
      <c r="E1746" s="287" t="s">
        <v>3562</v>
      </c>
      <c r="F1746" s="287" t="s">
        <v>3559</v>
      </c>
      <c r="G1746" s="288" t="s">
        <v>3569</v>
      </c>
    </row>
    <row r="1747" spans="1:7" x14ac:dyDescent="0.2">
      <c r="A1747" s="944">
        <v>39093013200</v>
      </c>
      <c r="B1747" s="239" t="s">
        <v>1753</v>
      </c>
      <c r="C1747" s="286" t="s">
        <v>2975</v>
      </c>
      <c r="D1747" s="865" t="s">
        <v>2975</v>
      </c>
      <c r="E1747" s="287" t="s">
        <v>3562</v>
      </c>
      <c r="F1747" s="287" t="s">
        <v>5177</v>
      </c>
      <c r="G1747" s="288" t="s">
        <v>3569</v>
      </c>
    </row>
    <row r="1748" spans="1:7" x14ac:dyDescent="0.2">
      <c r="A1748" s="944">
        <v>39093021100</v>
      </c>
      <c r="B1748" s="239" t="s">
        <v>1754</v>
      </c>
      <c r="C1748" s="286" t="s">
        <v>2975</v>
      </c>
      <c r="D1748" s="865" t="s">
        <v>2975</v>
      </c>
      <c r="E1748" s="287" t="s">
        <v>3564</v>
      </c>
      <c r="F1748" s="287" t="s">
        <v>3565</v>
      </c>
      <c r="G1748" s="288" t="s">
        <v>3569</v>
      </c>
    </row>
    <row r="1749" spans="1:7" x14ac:dyDescent="0.2">
      <c r="A1749" s="944">
        <v>39093021200</v>
      </c>
      <c r="B1749" s="239" t="s">
        <v>1755</v>
      </c>
      <c r="C1749" s="286" t="s">
        <v>2975</v>
      </c>
      <c r="D1749" s="865" t="s">
        <v>2975</v>
      </c>
      <c r="E1749" s="287" t="s">
        <v>3564</v>
      </c>
      <c r="F1749" s="287" t="s">
        <v>3559</v>
      </c>
      <c r="G1749" s="288" t="s">
        <v>3569</v>
      </c>
    </row>
    <row r="1750" spans="1:7" x14ac:dyDescent="0.2">
      <c r="A1750" s="944">
        <v>39093022100</v>
      </c>
      <c r="B1750" s="239" t="s">
        <v>1756</v>
      </c>
      <c r="C1750" s="286" t="s">
        <v>2975</v>
      </c>
      <c r="D1750" s="865" t="s">
        <v>2975</v>
      </c>
      <c r="E1750" s="287" t="s">
        <v>3563</v>
      </c>
      <c r="F1750" s="287" t="s">
        <v>5177</v>
      </c>
      <c r="G1750" s="288" t="s">
        <v>3553</v>
      </c>
    </row>
    <row r="1751" spans="1:7" x14ac:dyDescent="0.2">
      <c r="A1751" s="944">
        <v>39093022200</v>
      </c>
      <c r="B1751" s="239" t="s">
        <v>1757</v>
      </c>
      <c r="C1751" s="286" t="s">
        <v>4330</v>
      </c>
      <c r="D1751" s="865" t="s">
        <v>2975</v>
      </c>
      <c r="E1751" s="287" t="s">
        <v>3566</v>
      </c>
      <c r="F1751" s="287" t="s">
        <v>5176</v>
      </c>
      <c r="G1751" s="288" t="s">
        <v>3553</v>
      </c>
    </row>
    <row r="1752" spans="1:7" x14ac:dyDescent="0.2">
      <c r="A1752" s="944">
        <v>39093022400</v>
      </c>
      <c r="B1752" s="239" t="s">
        <v>1758</v>
      </c>
      <c r="C1752" s="286" t="s">
        <v>4330</v>
      </c>
      <c r="D1752" s="865" t="s">
        <v>4330</v>
      </c>
      <c r="E1752" s="287" t="s">
        <v>3564</v>
      </c>
      <c r="F1752" s="287" t="s">
        <v>3565</v>
      </c>
      <c r="G1752" s="288" t="s">
        <v>3553</v>
      </c>
    </row>
    <row r="1753" spans="1:7" x14ac:dyDescent="0.2">
      <c r="A1753" s="944">
        <v>39093022500</v>
      </c>
      <c r="B1753" s="239" t="s">
        <v>1759</v>
      </c>
      <c r="C1753" s="286" t="s">
        <v>2975</v>
      </c>
      <c r="D1753" s="865" t="s">
        <v>2975</v>
      </c>
      <c r="E1753" s="287" t="s">
        <v>3562</v>
      </c>
      <c r="F1753" s="287" t="s">
        <v>3558</v>
      </c>
      <c r="G1753" s="288" t="s">
        <v>3553</v>
      </c>
    </row>
    <row r="1754" spans="1:7" x14ac:dyDescent="0.2">
      <c r="A1754" s="944">
        <v>39093022601</v>
      </c>
      <c r="B1754" s="239" t="s">
        <v>1760</v>
      </c>
      <c r="C1754" s="286" t="s">
        <v>4330</v>
      </c>
      <c r="D1754" s="865" t="s">
        <v>4330</v>
      </c>
      <c r="E1754" s="287" t="s">
        <v>3557</v>
      </c>
      <c r="F1754" s="287" t="s">
        <v>3558</v>
      </c>
      <c r="G1754" s="288" t="s">
        <v>3569</v>
      </c>
    </row>
    <row r="1755" spans="1:7" x14ac:dyDescent="0.2">
      <c r="A1755" s="944">
        <v>39093022800</v>
      </c>
      <c r="B1755" s="239" t="s">
        <v>1761</v>
      </c>
      <c r="C1755" s="286" t="s">
        <v>4330</v>
      </c>
      <c r="D1755" s="865" t="s">
        <v>4330</v>
      </c>
      <c r="E1755" s="287" t="s">
        <v>3564</v>
      </c>
      <c r="F1755" s="287" t="s">
        <v>5176</v>
      </c>
      <c r="G1755" s="288" t="s">
        <v>3553</v>
      </c>
    </row>
    <row r="1756" spans="1:7" x14ac:dyDescent="0.2">
      <c r="A1756" s="944">
        <v>39093023000</v>
      </c>
      <c r="B1756" s="239" t="s">
        <v>1762</v>
      </c>
      <c r="C1756" s="286" t="s">
        <v>4330</v>
      </c>
      <c r="D1756" s="865" t="s">
        <v>4330</v>
      </c>
      <c r="E1756" s="287" t="s">
        <v>3557</v>
      </c>
      <c r="F1756" s="287" t="s">
        <v>3558</v>
      </c>
      <c r="G1756" s="288" t="s">
        <v>3569</v>
      </c>
    </row>
    <row r="1757" spans="1:7" x14ac:dyDescent="0.2">
      <c r="A1757" s="944">
        <v>39093023100</v>
      </c>
      <c r="B1757" s="239" t="s">
        <v>1763</v>
      </c>
      <c r="C1757" s="286" t="s">
        <v>4330</v>
      </c>
      <c r="D1757" s="865" t="s">
        <v>4330</v>
      </c>
      <c r="E1757" s="287" t="s">
        <v>3564</v>
      </c>
      <c r="F1757" s="287" t="s">
        <v>3565</v>
      </c>
      <c r="G1757" s="288" t="s">
        <v>3553</v>
      </c>
    </row>
    <row r="1758" spans="1:7" x14ac:dyDescent="0.2">
      <c r="A1758" s="944">
        <v>39093023200</v>
      </c>
      <c r="B1758" s="239" t="s">
        <v>1764</v>
      </c>
      <c r="C1758" s="286" t="s">
        <v>4330</v>
      </c>
      <c r="D1758" s="865" t="s">
        <v>4330</v>
      </c>
      <c r="E1758" s="287" t="s">
        <v>3557</v>
      </c>
      <c r="F1758" s="287" t="s">
        <v>5176</v>
      </c>
      <c r="G1758" s="288" t="s">
        <v>3553</v>
      </c>
    </row>
    <row r="1759" spans="1:7" x14ac:dyDescent="0.2">
      <c r="A1759" s="944">
        <v>39093023300</v>
      </c>
      <c r="B1759" s="239" t="s">
        <v>1765</v>
      </c>
      <c r="C1759" s="286" t="s">
        <v>4330</v>
      </c>
      <c r="D1759" s="865" t="s">
        <v>4330</v>
      </c>
      <c r="E1759" s="287" t="s">
        <v>3564</v>
      </c>
      <c r="F1759" s="287" t="s">
        <v>3565</v>
      </c>
      <c r="G1759" s="288" t="s">
        <v>3553</v>
      </c>
    </row>
    <row r="1760" spans="1:7" x14ac:dyDescent="0.2">
      <c r="A1760" s="944">
        <v>39093023400</v>
      </c>
      <c r="B1760" s="239" t="s">
        <v>1766</v>
      </c>
      <c r="C1760" s="286" t="s">
        <v>2975</v>
      </c>
      <c r="D1760" s="865" t="s">
        <v>2975</v>
      </c>
      <c r="E1760" s="287" t="s">
        <v>3557</v>
      </c>
      <c r="F1760" s="287" t="s">
        <v>5176</v>
      </c>
      <c r="G1760" s="288" t="s">
        <v>3569</v>
      </c>
    </row>
    <row r="1761" spans="1:7" x14ac:dyDescent="0.2">
      <c r="A1761" s="944">
        <v>39093023500</v>
      </c>
      <c r="B1761" s="239" t="s">
        <v>1767</v>
      </c>
      <c r="C1761" s="286" t="s">
        <v>2975</v>
      </c>
      <c r="D1761" s="865" t="s">
        <v>2975</v>
      </c>
      <c r="E1761" s="287" t="s">
        <v>3563</v>
      </c>
      <c r="F1761" s="287" t="s">
        <v>5176</v>
      </c>
      <c r="G1761" s="288" t="s">
        <v>3553</v>
      </c>
    </row>
    <row r="1762" spans="1:7" x14ac:dyDescent="0.2">
      <c r="A1762" s="944">
        <v>39093023600</v>
      </c>
      <c r="B1762" s="239" t="s">
        <v>1768</v>
      </c>
      <c r="C1762" s="286" t="s">
        <v>2975</v>
      </c>
      <c r="D1762" s="865" t="s">
        <v>2975</v>
      </c>
      <c r="E1762" s="287" t="s">
        <v>3566</v>
      </c>
      <c r="F1762" s="287" t="s">
        <v>5176</v>
      </c>
      <c r="G1762" s="288" t="s">
        <v>3553</v>
      </c>
    </row>
    <row r="1763" spans="1:7" x14ac:dyDescent="0.2">
      <c r="A1763" s="944">
        <v>39093023700</v>
      </c>
      <c r="B1763" s="239" t="s">
        <v>1769</v>
      </c>
      <c r="C1763" s="286" t="s">
        <v>2975</v>
      </c>
      <c r="D1763" s="865" t="s">
        <v>4330</v>
      </c>
      <c r="E1763" s="287" t="s">
        <v>3566</v>
      </c>
      <c r="F1763" s="287" t="s">
        <v>3565</v>
      </c>
      <c r="G1763" s="288" t="s">
        <v>3553</v>
      </c>
    </row>
    <row r="1764" spans="1:7" x14ac:dyDescent="0.2">
      <c r="A1764" s="944">
        <v>39093023800</v>
      </c>
      <c r="B1764" s="239" t="s">
        <v>1770</v>
      </c>
      <c r="C1764" s="286" t="s">
        <v>4330</v>
      </c>
      <c r="D1764" s="865" t="s">
        <v>4330</v>
      </c>
      <c r="E1764" s="287" t="s">
        <v>3557</v>
      </c>
      <c r="F1764" s="287" t="s">
        <v>3560</v>
      </c>
      <c r="G1764" s="288" t="s">
        <v>3569</v>
      </c>
    </row>
    <row r="1765" spans="1:7" x14ac:dyDescent="0.2">
      <c r="A1765" s="944">
        <v>39093023900</v>
      </c>
      <c r="B1765" s="239" t="s">
        <v>1771</v>
      </c>
      <c r="C1765" s="286" t="s">
        <v>2975</v>
      </c>
      <c r="D1765" s="865" t="s">
        <v>2975</v>
      </c>
      <c r="E1765" s="287" t="s">
        <v>3557</v>
      </c>
      <c r="F1765" s="287" t="s">
        <v>3559</v>
      </c>
      <c r="G1765" s="288" t="s">
        <v>3569</v>
      </c>
    </row>
    <row r="1766" spans="1:7" x14ac:dyDescent="0.2">
      <c r="A1766" s="944">
        <v>39093024000</v>
      </c>
      <c r="B1766" s="239" t="s">
        <v>1772</v>
      </c>
      <c r="C1766" s="286" t="s">
        <v>4330</v>
      </c>
      <c r="D1766" s="865" t="s">
        <v>4330</v>
      </c>
      <c r="E1766" s="287" t="s">
        <v>3557</v>
      </c>
      <c r="F1766" s="287" t="s">
        <v>5176</v>
      </c>
      <c r="G1766" s="288" t="s">
        <v>3569</v>
      </c>
    </row>
    <row r="1767" spans="1:7" x14ac:dyDescent="0.2">
      <c r="A1767" s="944">
        <v>39093024100</v>
      </c>
      <c r="B1767" s="239" t="s">
        <v>1773</v>
      </c>
      <c r="C1767" s="286" t="s">
        <v>2975</v>
      </c>
      <c r="D1767" s="865" t="s">
        <v>2975</v>
      </c>
      <c r="E1767" s="287" t="s">
        <v>3557</v>
      </c>
      <c r="F1767" s="287" t="s">
        <v>5177</v>
      </c>
      <c r="G1767" s="288" t="s">
        <v>3569</v>
      </c>
    </row>
    <row r="1768" spans="1:7" x14ac:dyDescent="0.2">
      <c r="A1768" s="944">
        <v>39093024200</v>
      </c>
      <c r="B1768" s="239" t="s">
        <v>1774</v>
      </c>
      <c r="C1768" s="286" t="s">
        <v>2975</v>
      </c>
      <c r="D1768" s="865" t="s">
        <v>2975</v>
      </c>
      <c r="E1768" s="287" t="s">
        <v>3564</v>
      </c>
      <c r="F1768" s="287" t="s">
        <v>5176</v>
      </c>
      <c r="G1768" s="288" t="s">
        <v>3569</v>
      </c>
    </row>
    <row r="1769" spans="1:7" x14ac:dyDescent="0.2">
      <c r="A1769" s="944">
        <v>39093028100</v>
      </c>
      <c r="B1769" s="239" t="s">
        <v>1775</v>
      </c>
      <c r="C1769" s="286" t="s">
        <v>2975</v>
      </c>
      <c r="D1769" s="865" t="s">
        <v>2975</v>
      </c>
      <c r="E1769" s="287" t="s">
        <v>3563</v>
      </c>
      <c r="F1769" s="287" t="s">
        <v>3558</v>
      </c>
      <c r="G1769" s="288" t="s">
        <v>3569</v>
      </c>
    </row>
    <row r="1770" spans="1:7" x14ac:dyDescent="0.2">
      <c r="A1770" s="944">
        <v>39093030100</v>
      </c>
      <c r="B1770" s="239" t="s">
        <v>1776</v>
      </c>
      <c r="C1770" s="286" t="s">
        <v>2975</v>
      </c>
      <c r="D1770" s="865" t="s">
        <v>2975</v>
      </c>
      <c r="E1770" s="287" t="s">
        <v>3566</v>
      </c>
      <c r="F1770" s="287" t="s">
        <v>3558</v>
      </c>
      <c r="G1770" s="288" t="s">
        <v>3569</v>
      </c>
    </row>
    <row r="1771" spans="1:7" x14ac:dyDescent="0.2">
      <c r="A1771" s="944">
        <v>39093050100</v>
      </c>
      <c r="B1771" s="239" t="s">
        <v>1777</v>
      </c>
      <c r="C1771" s="286" t="s">
        <v>2975</v>
      </c>
      <c r="D1771" s="865" t="s">
        <v>2975</v>
      </c>
      <c r="E1771" s="287" t="s">
        <v>3563</v>
      </c>
      <c r="F1771" s="287" t="s">
        <v>5176</v>
      </c>
      <c r="G1771" s="288" t="s">
        <v>3569</v>
      </c>
    </row>
    <row r="1772" spans="1:7" x14ac:dyDescent="0.2">
      <c r="A1772" s="944">
        <v>39093050200</v>
      </c>
      <c r="B1772" s="239" t="s">
        <v>1778</v>
      </c>
      <c r="C1772" s="286" t="s">
        <v>2975</v>
      </c>
      <c r="D1772" s="865" t="s">
        <v>2975</v>
      </c>
      <c r="E1772" s="287" t="s">
        <v>3563</v>
      </c>
      <c r="F1772" s="287" t="s">
        <v>3558</v>
      </c>
      <c r="G1772" s="288" t="s">
        <v>3569</v>
      </c>
    </row>
    <row r="1773" spans="1:7" x14ac:dyDescent="0.2">
      <c r="A1773" s="944">
        <v>39093050300</v>
      </c>
      <c r="B1773" s="239" t="s">
        <v>1779</v>
      </c>
      <c r="C1773" s="286" t="s">
        <v>2975</v>
      </c>
      <c r="D1773" s="865" t="s">
        <v>2975</v>
      </c>
      <c r="E1773" s="287" t="s">
        <v>3566</v>
      </c>
      <c r="F1773" s="287" t="s">
        <v>3565</v>
      </c>
      <c r="G1773" s="288" t="s">
        <v>3569</v>
      </c>
    </row>
    <row r="1774" spans="1:7" x14ac:dyDescent="0.2">
      <c r="A1774" s="944">
        <v>39093050400</v>
      </c>
      <c r="B1774" s="239" t="s">
        <v>1780</v>
      </c>
      <c r="C1774" s="286" t="s">
        <v>2975</v>
      </c>
      <c r="D1774" s="865" t="s">
        <v>2975</v>
      </c>
      <c r="E1774" s="287" t="s">
        <v>3566</v>
      </c>
      <c r="F1774" s="287" t="s">
        <v>5176</v>
      </c>
      <c r="G1774" s="288" t="s">
        <v>3569</v>
      </c>
    </row>
    <row r="1775" spans="1:7" x14ac:dyDescent="0.2">
      <c r="A1775" s="944">
        <v>39093057100</v>
      </c>
      <c r="B1775" s="239" t="s">
        <v>1781</v>
      </c>
      <c r="C1775" s="286" t="s">
        <v>2975</v>
      </c>
      <c r="D1775" s="865" t="s">
        <v>2975</v>
      </c>
      <c r="E1775" s="287" t="s">
        <v>3563</v>
      </c>
      <c r="F1775" s="287" t="s">
        <v>5176</v>
      </c>
      <c r="G1775" s="288" t="s">
        <v>3568</v>
      </c>
    </row>
    <row r="1776" spans="1:7" x14ac:dyDescent="0.2">
      <c r="A1776" s="944">
        <v>39093060100</v>
      </c>
      <c r="B1776" s="239" t="s">
        <v>1782</v>
      </c>
      <c r="C1776" s="286" t="s">
        <v>2975</v>
      </c>
      <c r="D1776" s="865" t="s">
        <v>2975</v>
      </c>
      <c r="E1776" s="287" t="s">
        <v>3562</v>
      </c>
      <c r="F1776" s="287" t="s">
        <v>5176</v>
      </c>
      <c r="G1776" s="288" t="s">
        <v>3568</v>
      </c>
    </row>
    <row r="1777" spans="1:7" x14ac:dyDescent="0.2">
      <c r="A1777" s="944">
        <v>39093060200</v>
      </c>
      <c r="B1777" s="239" t="s">
        <v>1783</v>
      </c>
      <c r="C1777" s="286" t="s">
        <v>2975</v>
      </c>
      <c r="D1777" s="865" t="s">
        <v>2975</v>
      </c>
      <c r="E1777" s="287" t="s">
        <v>3562</v>
      </c>
      <c r="F1777" s="287" t="s">
        <v>3559</v>
      </c>
      <c r="G1777" s="288" t="s">
        <v>5175</v>
      </c>
    </row>
    <row r="1778" spans="1:7" x14ac:dyDescent="0.2">
      <c r="A1778" s="944">
        <v>39093070101</v>
      </c>
      <c r="B1778" s="239" t="s">
        <v>1784</v>
      </c>
      <c r="C1778" s="286" t="s">
        <v>2975</v>
      </c>
      <c r="D1778" s="865" t="s">
        <v>2975</v>
      </c>
      <c r="E1778" s="287" t="s">
        <v>3564</v>
      </c>
      <c r="F1778" s="287" t="s">
        <v>5176</v>
      </c>
      <c r="G1778" s="288" t="s">
        <v>3569</v>
      </c>
    </row>
    <row r="1779" spans="1:7" x14ac:dyDescent="0.2">
      <c r="A1779" s="944">
        <v>39093070102</v>
      </c>
      <c r="B1779" s="239" t="s">
        <v>1785</v>
      </c>
      <c r="C1779" s="286" t="s">
        <v>2975</v>
      </c>
      <c r="D1779" s="865" t="s">
        <v>2975</v>
      </c>
      <c r="E1779" s="287" t="s">
        <v>3564</v>
      </c>
      <c r="F1779" s="287" t="s">
        <v>5176</v>
      </c>
      <c r="G1779" s="288" t="s">
        <v>3569</v>
      </c>
    </row>
    <row r="1780" spans="1:7" x14ac:dyDescent="0.2">
      <c r="A1780" s="944">
        <v>39093070200</v>
      </c>
      <c r="B1780" s="239" t="s">
        <v>1786</v>
      </c>
      <c r="C1780" s="286" t="s">
        <v>2975</v>
      </c>
      <c r="D1780" s="865" t="s">
        <v>2975</v>
      </c>
      <c r="E1780" s="287" t="s">
        <v>3564</v>
      </c>
      <c r="F1780" s="287" t="s">
        <v>5177</v>
      </c>
      <c r="G1780" s="288" t="s">
        <v>3569</v>
      </c>
    </row>
    <row r="1781" spans="1:7" x14ac:dyDescent="0.2">
      <c r="A1781" s="944">
        <v>39093070300</v>
      </c>
      <c r="B1781" s="239" t="s">
        <v>1787</v>
      </c>
      <c r="C1781" s="286" t="s">
        <v>2975</v>
      </c>
      <c r="D1781" s="865" t="s">
        <v>2975</v>
      </c>
      <c r="E1781" s="287" t="s">
        <v>3564</v>
      </c>
      <c r="F1781" s="287" t="s">
        <v>5176</v>
      </c>
      <c r="G1781" s="288" t="s">
        <v>3569</v>
      </c>
    </row>
    <row r="1782" spans="1:7" x14ac:dyDescent="0.2">
      <c r="A1782" s="944">
        <v>39093070400</v>
      </c>
      <c r="B1782" s="239" t="s">
        <v>1788</v>
      </c>
      <c r="C1782" s="286" t="s">
        <v>2975</v>
      </c>
      <c r="D1782" s="865" t="s">
        <v>2975</v>
      </c>
      <c r="E1782" s="287" t="s">
        <v>3557</v>
      </c>
      <c r="F1782" s="287" t="s">
        <v>3558</v>
      </c>
      <c r="G1782" s="288" t="s">
        <v>3569</v>
      </c>
    </row>
    <row r="1783" spans="1:7" x14ac:dyDescent="0.2">
      <c r="A1783" s="944">
        <v>39093070500</v>
      </c>
      <c r="B1783" s="239" t="s">
        <v>1789</v>
      </c>
      <c r="C1783" s="286" t="s">
        <v>4330</v>
      </c>
      <c r="D1783" s="865" t="s">
        <v>4330</v>
      </c>
      <c r="E1783" s="287" t="s">
        <v>3563</v>
      </c>
      <c r="F1783" s="287" t="s">
        <v>5176</v>
      </c>
      <c r="G1783" s="288" t="s">
        <v>3553</v>
      </c>
    </row>
    <row r="1784" spans="1:7" x14ac:dyDescent="0.2">
      <c r="A1784" s="944">
        <v>39093070600</v>
      </c>
      <c r="B1784" s="239" t="s">
        <v>1790</v>
      </c>
      <c r="C1784" s="286" t="s">
        <v>2975</v>
      </c>
      <c r="D1784" s="865" t="s">
        <v>2975</v>
      </c>
      <c r="E1784" s="287" t="s">
        <v>3562</v>
      </c>
      <c r="F1784" s="287" t="s">
        <v>3559</v>
      </c>
      <c r="G1784" s="288" t="s">
        <v>3553</v>
      </c>
    </row>
    <row r="1785" spans="1:7" x14ac:dyDescent="0.2">
      <c r="A1785" s="944">
        <v>39093070700</v>
      </c>
      <c r="B1785" s="239" t="s">
        <v>1791</v>
      </c>
      <c r="C1785" s="286" t="s">
        <v>2975</v>
      </c>
      <c r="D1785" s="865" t="s">
        <v>2975</v>
      </c>
      <c r="E1785" s="287" t="s">
        <v>3563</v>
      </c>
      <c r="F1785" s="287" t="s">
        <v>5176</v>
      </c>
      <c r="G1785" s="288" t="s">
        <v>3553</v>
      </c>
    </row>
    <row r="1786" spans="1:7" x14ac:dyDescent="0.2">
      <c r="A1786" s="944">
        <v>39093070800</v>
      </c>
      <c r="B1786" s="239" t="s">
        <v>1792</v>
      </c>
      <c r="C1786" s="286" t="s">
        <v>4330</v>
      </c>
      <c r="D1786" s="865" t="s">
        <v>4330</v>
      </c>
      <c r="E1786" s="287" t="s">
        <v>3564</v>
      </c>
      <c r="F1786" s="287" t="s">
        <v>5176</v>
      </c>
      <c r="G1786" s="288" t="s">
        <v>3553</v>
      </c>
    </row>
    <row r="1787" spans="1:7" x14ac:dyDescent="0.2">
      <c r="A1787" s="944">
        <v>39093070901</v>
      </c>
      <c r="B1787" s="239" t="s">
        <v>1793</v>
      </c>
      <c r="C1787" s="286" t="s">
        <v>4330</v>
      </c>
      <c r="D1787" s="865" t="s">
        <v>4330</v>
      </c>
      <c r="E1787" s="287" t="s">
        <v>3557</v>
      </c>
      <c r="F1787" s="287" t="s">
        <v>5176</v>
      </c>
      <c r="G1787" s="288" t="s">
        <v>3569</v>
      </c>
    </row>
    <row r="1788" spans="1:7" x14ac:dyDescent="0.2">
      <c r="A1788" s="944">
        <v>39093070902</v>
      </c>
      <c r="B1788" s="239" t="s">
        <v>1794</v>
      </c>
      <c r="C1788" s="286" t="s">
        <v>2975</v>
      </c>
      <c r="D1788" s="865" t="s">
        <v>2975</v>
      </c>
      <c r="E1788" s="287" t="s">
        <v>3557</v>
      </c>
      <c r="F1788" s="287" t="s">
        <v>5176</v>
      </c>
      <c r="G1788" s="288" t="s">
        <v>3569</v>
      </c>
    </row>
    <row r="1789" spans="1:7" x14ac:dyDescent="0.2">
      <c r="A1789" s="944">
        <v>39093071000</v>
      </c>
      <c r="B1789" s="239" t="s">
        <v>1795</v>
      </c>
      <c r="C1789" s="286" t="s">
        <v>4330</v>
      </c>
      <c r="D1789" s="865" t="s">
        <v>4330</v>
      </c>
      <c r="E1789" s="287" t="s">
        <v>3563</v>
      </c>
      <c r="F1789" s="287" t="s">
        <v>3559</v>
      </c>
      <c r="G1789" s="288" t="s">
        <v>3553</v>
      </c>
    </row>
    <row r="1790" spans="1:7" x14ac:dyDescent="0.2">
      <c r="A1790" s="944">
        <v>39093071100</v>
      </c>
      <c r="B1790" s="239" t="s">
        <v>1796</v>
      </c>
      <c r="C1790" s="286" t="s">
        <v>2975</v>
      </c>
      <c r="D1790" s="865" t="s">
        <v>2975</v>
      </c>
      <c r="E1790" s="287" t="s">
        <v>3562</v>
      </c>
      <c r="F1790" s="287" t="s">
        <v>3558</v>
      </c>
      <c r="G1790" s="288" t="s">
        <v>3553</v>
      </c>
    </row>
    <row r="1791" spans="1:7" x14ac:dyDescent="0.2">
      <c r="A1791" s="944">
        <v>39093071201</v>
      </c>
      <c r="B1791" s="239" t="s">
        <v>1797</v>
      </c>
      <c r="C1791" s="286" t="s">
        <v>2975</v>
      </c>
      <c r="D1791" s="865" t="s">
        <v>2975</v>
      </c>
      <c r="E1791" s="287" t="s">
        <v>3564</v>
      </c>
      <c r="F1791" s="287" t="s">
        <v>5176</v>
      </c>
      <c r="G1791" s="288" t="s">
        <v>3569</v>
      </c>
    </row>
    <row r="1792" spans="1:7" x14ac:dyDescent="0.2">
      <c r="A1792" s="944">
        <v>39093071202</v>
      </c>
      <c r="B1792" s="239" t="s">
        <v>1798</v>
      </c>
      <c r="C1792" s="286" t="s">
        <v>2975</v>
      </c>
      <c r="D1792" s="865" t="s">
        <v>2975</v>
      </c>
      <c r="E1792" s="287" t="s">
        <v>3563</v>
      </c>
      <c r="F1792" s="287" t="s">
        <v>5177</v>
      </c>
      <c r="G1792" s="288" t="s">
        <v>3569</v>
      </c>
    </row>
    <row r="1793" spans="1:7" x14ac:dyDescent="0.2">
      <c r="A1793" s="944">
        <v>39093071300</v>
      </c>
      <c r="B1793" s="239" t="s">
        <v>1799</v>
      </c>
      <c r="C1793" s="286" t="s">
        <v>2975</v>
      </c>
      <c r="D1793" s="865" t="s">
        <v>2975</v>
      </c>
      <c r="E1793" s="287" t="s">
        <v>3564</v>
      </c>
      <c r="F1793" s="287" t="s">
        <v>5176</v>
      </c>
      <c r="G1793" s="288" t="s">
        <v>3569</v>
      </c>
    </row>
    <row r="1794" spans="1:7" x14ac:dyDescent="0.2">
      <c r="A1794" s="944">
        <v>39093071400</v>
      </c>
      <c r="B1794" s="239" t="s">
        <v>1800</v>
      </c>
      <c r="C1794" s="286" t="s">
        <v>4330</v>
      </c>
      <c r="D1794" s="865" t="s">
        <v>4330</v>
      </c>
      <c r="E1794" s="287" t="s">
        <v>3564</v>
      </c>
      <c r="F1794" s="287" t="s">
        <v>5176</v>
      </c>
      <c r="G1794" s="288" t="s">
        <v>3553</v>
      </c>
    </row>
    <row r="1795" spans="1:7" x14ac:dyDescent="0.2">
      <c r="A1795" s="944">
        <v>39093071500</v>
      </c>
      <c r="B1795" s="239" t="s">
        <v>1801</v>
      </c>
      <c r="C1795" s="286" t="s">
        <v>2975</v>
      </c>
      <c r="D1795" s="865" t="s">
        <v>2975</v>
      </c>
      <c r="E1795" s="287" t="s">
        <v>3562</v>
      </c>
      <c r="F1795" s="287" t="s">
        <v>5177</v>
      </c>
      <c r="G1795" s="288" t="s">
        <v>3568</v>
      </c>
    </row>
    <row r="1796" spans="1:7" x14ac:dyDescent="0.2">
      <c r="A1796" s="944">
        <v>39093077100</v>
      </c>
      <c r="B1796" s="239" t="s">
        <v>1802</v>
      </c>
      <c r="C1796" s="286" t="s">
        <v>2975</v>
      </c>
      <c r="D1796" s="865" t="s">
        <v>2975</v>
      </c>
      <c r="E1796" s="287" t="s">
        <v>3562</v>
      </c>
      <c r="F1796" s="287" t="s">
        <v>3558</v>
      </c>
      <c r="G1796" s="288" t="s">
        <v>3568</v>
      </c>
    </row>
    <row r="1797" spans="1:7" x14ac:dyDescent="0.2">
      <c r="A1797" s="944">
        <v>39093080101</v>
      </c>
      <c r="B1797" s="239" t="s">
        <v>1803</v>
      </c>
      <c r="C1797" s="286" t="s">
        <v>2975</v>
      </c>
      <c r="D1797" s="865" t="s">
        <v>2975</v>
      </c>
      <c r="E1797" s="287" t="s">
        <v>3563</v>
      </c>
      <c r="F1797" s="287" t="s">
        <v>3565</v>
      </c>
      <c r="G1797" s="288" t="s">
        <v>3569</v>
      </c>
    </row>
    <row r="1798" spans="1:7" x14ac:dyDescent="0.2">
      <c r="A1798" s="944">
        <v>39093080103</v>
      </c>
      <c r="B1798" s="239" t="s">
        <v>1804</v>
      </c>
      <c r="C1798" s="286" t="s">
        <v>2975</v>
      </c>
      <c r="D1798" s="865" t="s">
        <v>2975</v>
      </c>
      <c r="E1798" s="287" t="s">
        <v>3566</v>
      </c>
      <c r="F1798" s="287" t="s">
        <v>3558</v>
      </c>
      <c r="G1798" s="288" t="s">
        <v>3569</v>
      </c>
    </row>
    <row r="1799" spans="1:7" x14ac:dyDescent="0.2">
      <c r="A1799" s="944">
        <v>39093080104</v>
      </c>
      <c r="B1799" s="239" t="s">
        <v>1805</v>
      </c>
      <c r="C1799" s="286" t="s">
        <v>2975</v>
      </c>
      <c r="D1799" s="865" t="s">
        <v>2975</v>
      </c>
      <c r="E1799" s="287" t="s">
        <v>3566</v>
      </c>
      <c r="F1799" s="287" t="s">
        <v>3565</v>
      </c>
      <c r="G1799" s="288" t="s">
        <v>3569</v>
      </c>
    </row>
    <row r="1800" spans="1:7" x14ac:dyDescent="0.2">
      <c r="A1800" s="944">
        <v>39093080500</v>
      </c>
      <c r="B1800" s="239" t="s">
        <v>1806</v>
      </c>
      <c r="C1800" s="286" t="s">
        <v>2975</v>
      </c>
      <c r="D1800" s="865" t="s">
        <v>2975</v>
      </c>
      <c r="E1800" s="287" t="s">
        <v>3563</v>
      </c>
      <c r="F1800" s="287" t="s">
        <v>3559</v>
      </c>
      <c r="G1800" s="288" t="s">
        <v>3569</v>
      </c>
    </row>
    <row r="1801" spans="1:7" x14ac:dyDescent="0.2">
      <c r="A1801" s="944">
        <v>39093080600</v>
      </c>
      <c r="B1801" s="239" t="s">
        <v>1807</v>
      </c>
      <c r="C1801" s="286" t="s">
        <v>2975</v>
      </c>
      <c r="D1801" s="865" t="s">
        <v>2975</v>
      </c>
      <c r="E1801" s="287" t="s">
        <v>3566</v>
      </c>
      <c r="F1801" s="287" t="s">
        <v>3558</v>
      </c>
      <c r="G1801" s="288" t="s">
        <v>3569</v>
      </c>
    </row>
    <row r="1802" spans="1:7" x14ac:dyDescent="0.2">
      <c r="A1802" s="944">
        <v>39093080700</v>
      </c>
      <c r="B1802" s="239" t="s">
        <v>1808</v>
      </c>
      <c r="C1802" s="286" t="s">
        <v>2975</v>
      </c>
      <c r="D1802" s="865" t="s">
        <v>2975</v>
      </c>
      <c r="E1802" s="287" t="s">
        <v>3563</v>
      </c>
      <c r="F1802" s="287" t="s">
        <v>3558</v>
      </c>
      <c r="G1802" s="288" t="s">
        <v>3569</v>
      </c>
    </row>
    <row r="1803" spans="1:7" x14ac:dyDescent="0.2">
      <c r="A1803" s="944">
        <v>39093090100</v>
      </c>
      <c r="B1803" s="239" t="s">
        <v>1809</v>
      </c>
      <c r="C1803" s="286" t="s">
        <v>2975</v>
      </c>
      <c r="D1803" s="865" t="s">
        <v>2975</v>
      </c>
      <c r="E1803" s="287" t="s">
        <v>3562</v>
      </c>
      <c r="F1803" s="287" t="s">
        <v>5177</v>
      </c>
      <c r="G1803" s="288" t="s">
        <v>3568</v>
      </c>
    </row>
    <row r="1804" spans="1:7" x14ac:dyDescent="0.2">
      <c r="A1804" s="944">
        <v>39093090200</v>
      </c>
      <c r="B1804" s="239" t="s">
        <v>1810</v>
      </c>
      <c r="C1804" s="286" t="s">
        <v>2975</v>
      </c>
      <c r="D1804" s="865" t="s">
        <v>2975</v>
      </c>
      <c r="E1804" s="287" t="s">
        <v>3562</v>
      </c>
      <c r="F1804" s="287" t="s">
        <v>3558</v>
      </c>
      <c r="G1804" s="288" t="s">
        <v>3568</v>
      </c>
    </row>
    <row r="1805" spans="1:7" x14ac:dyDescent="0.2">
      <c r="A1805" s="944">
        <v>39093091100</v>
      </c>
      <c r="B1805" s="239" t="s">
        <v>1811</v>
      </c>
      <c r="C1805" s="286" t="s">
        <v>2975</v>
      </c>
      <c r="D1805" s="865" t="s">
        <v>2975</v>
      </c>
      <c r="E1805" s="287" t="s">
        <v>3562</v>
      </c>
      <c r="F1805" s="287" t="s">
        <v>3559</v>
      </c>
      <c r="G1805" s="288" t="s">
        <v>3568</v>
      </c>
    </row>
    <row r="1806" spans="1:7" x14ac:dyDescent="0.2">
      <c r="A1806" s="944">
        <v>39093091200</v>
      </c>
      <c r="B1806" s="239" t="s">
        <v>1812</v>
      </c>
      <c r="C1806" s="286" t="s">
        <v>2975</v>
      </c>
      <c r="D1806" s="865" t="s">
        <v>2975</v>
      </c>
      <c r="E1806" s="287" t="s">
        <v>3564</v>
      </c>
      <c r="F1806" s="287" t="s">
        <v>3558</v>
      </c>
      <c r="G1806" s="288" t="s">
        <v>3569</v>
      </c>
    </row>
    <row r="1807" spans="1:7" x14ac:dyDescent="0.2">
      <c r="A1807" s="944">
        <v>39093092100</v>
      </c>
      <c r="B1807" s="239" t="s">
        <v>1813</v>
      </c>
      <c r="C1807" s="286" t="s">
        <v>2975</v>
      </c>
      <c r="D1807" s="865" t="s">
        <v>2975</v>
      </c>
      <c r="E1807" s="287" t="s">
        <v>3562</v>
      </c>
      <c r="F1807" s="287" t="s">
        <v>3559</v>
      </c>
      <c r="G1807" s="288" t="s">
        <v>3568</v>
      </c>
    </row>
    <row r="1808" spans="1:7" x14ac:dyDescent="0.2">
      <c r="A1808" s="944">
        <v>39093093100</v>
      </c>
      <c r="B1808" s="239" t="s">
        <v>1814</v>
      </c>
      <c r="C1808" s="286" t="s">
        <v>2975</v>
      </c>
      <c r="D1808" s="865" t="s">
        <v>2975</v>
      </c>
      <c r="E1808" s="287" t="s">
        <v>3563</v>
      </c>
      <c r="F1808" s="287" t="s">
        <v>3565</v>
      </c>
      <c r="G1808" s="288" t="s">
        <v>3568</v>
      </c>
    </row>
    <row r="1809" spans="1:7" x14ac:dyDescent="0.2">
      <c r="A1809" s="944">
        <v>39093094100</v>
      </c>
      <c r="B1809" s="239" t="s">
        <v>1815</v>
      </c>
      <c r="C1809" s="286" t="s">
        <v>2975</v>
      </c>
      <c r="D1809" s="865" t="s">
        <v>2975</v>
      </c>
      <c r="E1809" s="287" t="s">
        <v>3563</v>
      </c>
      <c r="F1809" s="287" t="s">
        <v>3559</v>
      </c>
      <c r="G1809" s="288" t="s">
        <v>3568</v>
      </c>
    </row>
    <row r="1810" spans="1:7" x14ac:dyDescent="0.2">
      <c r="A1810" s="944">
        <v>39093095100</v>
      </c>
      <c r="B1810" s="239" t="s">
        <v>1816</v>
      </c>
      <c r="C1810" s="286" t="s">
        <v>2975</v>
      </c>
      <c r="D1810" s="865" t="s">
        <v>2975</v>
      </c>
      <c r="E1810" s="287" t="s">
        <v>3562</v>
      </c>
      <c r="F1810" s="287" t="s">
        <v>3565</v>
      </c>
      <c r="G1810" s="288" t="s">
        <v>3568</v>
      </c>
    </row>
    <row r="1811" spans="1:7" x14ac:dyDescent="0.2">
      <c r="A1811" s="944">
        <v>39093096100</v>
      </c>
      <c r="B1811" s="239" t="s">
        <v>1817</v>
      </c>
      <c r="C1811" s="286" t="s">
        <v>2975</v>
      </c>
      <c r="D1811" s="865" t="s">
        <v>2975</v>
      </c>
      <c r="E1811" s="287" t="s">
        <v>3564</v>
      </c>
      <c r="F1811" s="287" t="s">
        <v>3565</v>
      </c>
      <c r="G1811" s="288" t="s">
        <v>3568</v>
      </c>
    </row>
    <row r="1812" spans="1:7" x14ac:dyDescent="0.2">
      <c r="A1812" s="944">
        <v>39093097100</v>
      </c>
      <c r="B1812" s="239" t="s">
        <v>1818</v>
      </c>
      <c r="C1812" s="286" t="s">
        <v>2975</v>
      </c>
      <c r="D1812" s="865" t="s">
        <v>2975</v>
      </c>
      <c r="E1812" s="287" t="s">
        <v>3566</v>
      </c>
      <c r="F1812" s="287" t="s">
        <v>5177</v>
      </c>
      <c r="G1812" s="288" t="s">
        <v>3568</v>
      </c>
    </row>
    <row r="1813" spans="1:7" x14ac:dyDescent="0.2">
      <c r="A1813" s="944">
        <v>39093097200</v>
      </c>
      <c r="B1813" s="239" t="s">
        <v>1819</v>
      </c>
      <c r="C1813" s="286" t="s">
        <v>2975</v>
      </c>
      <c r="D1813" s="865" t="s">
        <v>2975</v>
      </c>
      <c r="E1813" s="287" t="s">
        <v>3566</v>
      </c>
      <c r="F1813" s="287" t="s">
        <v>3558</v>
      </c>
      <c r="G1813" s="288" t="s">
        <v>3569</v>
      </c>
    </row>
    <row r="1814" spans="1:7" x14ac:dyDescent="0.2">
      <c r="A1814" s="944">
        <v>39093097300</v>
      </c>
      <c r="B1814" s="239" t="s">
        <v>1820</v>
      </c>
      <c r="C1814" s="286" t="s">
        <v>4330</v>
      </c>
      <c r="D1814" s="865" t="s">
        <v>4330</v>
      </c>
      <c r="E1814" s="287" t="s">
        <v>3564</v>
      </c>
      <c r="F1814" s="287" t="s">
        <v>5176</v>
      </c>
      <c r="G1814" s="288" t="s">
        <v>3553</v>
      </c>
    </row>
    <row r="1815" spans="1:7" x14ac:dyDescent="0.2">
      <c r="A1815" s="944">
        <v>39093097400</v>
      </c>
      <c r="B1815" s="239" t="s">
        <v>1821</v>
      </c>
      <c r="C1815" s="286" t="s">
        <v>2975</v>
      </c>
      <c r="D1815" s="865" t="s">
        <v>2975</v>
      </c>
      <c r="E1815" s="287" t="s">
        <v>3562</v>
      </c>
      <c r="F1815" s="287" t="s">
        <v>3560</v>
      </c>
      <c r="G1815" s="288" t="s">
        <v>3569</v>
      </c>
    </row>
    <row r="1816" spans="1:7" x14ac:dyDescent="0.2">
      <c r="A1816" s="944">
        <v>39095000200</v>
      </c>
      <c r="B1816" s="239" t="s">
        <v>1822</v>
      </c>
      <c r="C1816" s="286" t="s">
        <v>2975</v>
      </c>
      <c r="D1816" s="865" t="s">
        <v>2975</v>
      </c>
      <c r="E1816" s="287" t="s">
        <v>3563</v>
      </c>
      <c r="F1816" s="287" t="s">
        <v>5176</v>
      </c>
      <c r="G1816" s="288" t="s">
        <v>3553</v>
      </c>
    </row>
    <row r="1817" spans="1:7" x14ac:dyDescent="0.2">
      <c r="A1817" s="944">
        <v>39095000300</v>
      </c>
      <c r="B1817" s="239" t="s">
        <v>1823</v>
      </c>
      <c r="C1817" s="286" t="s">
        <v>2975</v>
      </c>
      <c r="D1817" s="865" t="s">
        <v>2975</v>
      </c>
      <c r="E1817" s="287" t="s">
        <v>3563</v>
      </c>
      <c r="F1817" s="287" t="s">
        <v>5176</v>
      </c>
      <c r="G1817" s="288" t="s">
        <v>3553</v>
      </c>
    </row>
    <row r="1818" spans="1:7" x14ac:dyDescent="0.2">
      <c r="A1818" s="944">
        <v>39095000400</v>
      </c>
      <c r="B1818" s="239" t="s">
        <v>1824</v>
      </c>
      <c r="C1818" s="286" t="s">
        <v>2975</v>
      </c>
      <c r="D1818" s="865" t="s">
        <v>2975</v>
      </c>
      <c r="E1818" s="287" t="s">
        <v>3566</v>
      </c>
      <c r="F1818" s="287" t="s">
        <v>3559</v>
      </c>
      <c r="G1818" s="288" t="s">
        <v>3553</v>
      </c>
    </row>
    <row r="1819" spans="1:7" x14ac:dyDescent="0.2">
      <c r="A1819" s="944">
        <v>39095000600</v>
      </c>
      <c r="B1819" s="239" t="s">
        <v>1825</v>
      </c>
      <c r="C1819" s="286" t="s">
        <v>2975</v>
      </c>
      <c r="D1819" s="865" t="s">
        <v>2975</v>
      </c>
      <c r="E1819" s="287" t="s">
        <v>3563</v>
      </c>
      <c r="F1819" s="287" t="s">
        <v>3565</v>
      </c>
      <c r="G1819" s="288" t="s">
        <v>3553</v>
      </c>
    </row>
    <row r="1820" spans="1:7" x14ac:dyDescent="0.2">
      <c r="A1820" s="944">
        <v>39095000700</v>
      </c>
      <c r="B1820" s="239" t="s">
        <v>1826</v>
      </c>
      <c r="C1820" s="286" t="s">
        <v>2975</v>
      </c>
      <c r="D1820" s="865" t="s">
        <v>2975</v>
      </c>
      <c r="E1820" s="287" t="s">
        <v>3563</v>
      </c>
      <c r="F1820" s="287" t="s">
        <v>5176</v>
      </c>
      <c r="G1820" s="288" t="s">
        <v>3553</v>
      </c>
    </row>
    <row r="1821" spans="1:7" x14ac:dyDescent="0.2">
      <c r="A1821" s="944">
        <v>39095000800</v>
      </c>
      <c r="B1821" s="239" t="s">
        <v>1827</v>
      </c>
      <c r="C1821" s="286" t="s">
        <v>4330</v>
      </c>
      <c r="D1821" s="865" t="s">
        <v>4330</v>
      </c>
      <c r="E1821" s="287" t="s">
        <v>3557</v>
      </c>
      <c r="F1821" s="287" t="s">
        <v>5176</v>
      </c>
      <c r="G1821" s="288" t="s">
        <v>3553</v>
      </c>
    </row>
    <row r="1822" spans="1:7" x14ac:dyDescent="0.2">
      <c r="A1822" s="944">
        <v>39095000900</v>
      </c>
      <c r="B1822" s="239" t="s">
        <v>1828</v>
      </c>
      <c r="C1822" s="286" t="s">
        <v>4330</v>
      </c>
      <c r="D1822" s="865" t="s">
        <v>4330</v>
      </c>
      <c r="E1822" s="287" t="s">
        <v>3564</v>
      </c>
      <c r="F1822" s="287" t="s">
        <v>5176</v>
      </c>
      <c r="G1822" s="288" t="s">
        <v>3553</v>
      </c>
    </row>
    <row r="1823" spans="1:7" x14ac:dyDescent="0.2">
      <c r="A1823" s="944">
        <v>39095001000</v>
      </c>
      <c r="B1823" s="239" t="s">
        <v>1829</v>
      </c>
      <c r="C1823" s="286" t="s">
        <v>4330</v>
      </c>
      <c r="D1823" s="865" t="s">
        <v>2975</v>
      </c>
      <c r="E1823" s="287" t="s">
        <v>3564</v>
      </c>
      <c r="F1823" s="287" t="s">
        <v>5176</v>
      </c>
      <c r="G1823" s="288" t="s">
        <v>3553</v>
      </c>
    </row>
    <row r="1824" spans="1:7" x14ac:dyDescent="0.2">
      <c r="A1824" s="944">
        <v>39095001100</v>
      </c>
      <c r="B1824" s="239" t="s">
        <v>1830</v>
      </c>
      <c r="C1824" s="286" t="s">
        <v>4330</v>
      </c>
      <c r="D1824" s="865" t="s">
        <v>4330</v>
      </c>
      <c r="E1824" s="287" t="s">
        <v>3566</v>
      </c>
      <c r="F1824" s="287" t="s">
        <v>3558</v>
      </c>
      <c r="G1824" s="288" t="s">
        <v>3553</v>
      </c>
    </row>
    <row r="1825" spans="1:7" x14ac:dyDescent="0.2">
      <c r="A1825" s="944">
        <v>39095001201</v>
      </c>
      <c r="B1825" s="239" t="s">
        <v>1831</v>
      </c>
      <c r="C1825" s="286" t="s">
        <v>2975</v>
      </c>
      <c r="D1825" s="865" t="s">
        <v>2975</v>
      </c>
      <c r="E1825" s="287" t="s">
        <v>3557</v>
      </c>
      <c r="F1825" s="287" t="s">
        <v>3558</v>
      </c>
      <c r="G1825" s="288" t="s">
        <v>3569</v>
      </c>
    </row>
    <row r="1826" spans="1:7" x14ac:dyDescent="0.2">
      <c r="A1826" s="944">
        <v>39095001202</v>
      </c>
      <c r="B1826" s="239" t="s">
        <v>1832</v>
      </c>
      <c r="C1826" s="286" t="s">
        <v>4330</v>
      </c>
      <c r="D1826" s="865" t="s">
        <v>4330</v>
      </c>
      <c r="E1826" s="287" t="s">
        <v>3557</v>
      </c>
      <c r="F1826" s="287" t="s">
        <v>3558</v>
      </c>
      <c r="G1826" s="288" t="s">
        <v>3553</v>
      </c>
    </row>
    <row r="1827" spans="1:7" x14ac:dyDescent="0.2">
      <c r="A1827" s="944">
        <v>39095001301</v>
      </c>
      <c r="B1827" s="239" t="s">
        <v>1833</v>
      </c>
      <c r="C1827" s="286" t="s">
        <v>2975</v>
      </c>
      <c r="D1827" s="865" t="s">
        <v>2975</v>
      </c>
      <c r="E1827" s="287" t="s">
        <v>3562</v>
      </c>
      <c r="F1827" s="287" t="s">
        <v>5176</v>
      </c>
      <c r="G1827" s="288" t="s">
        <v>3553</v>
      </c>
    </row>
    <row r="1828" spans="1:7" x14ac:dyDescent="0.2">
      <c r="A1828" s="944">
        <v>39095001302</v>
      </c>
      <c r="B1828" s="239" t="s">
        <v>1834</v>
      </c>
      <c r="C1828" s="286" t="s">
        <v>4330</v>
      </c>
      <c r="D1828" s="865" t="s">
        <v>4330</v>
      </c>
      <c r="E1828" s="287" t="s">
        <v>3563</v>
      </c>
      <c r="F1828" s="287" t="s">
        <v>3558</v>
      </c>
      <c r="G1828" s="288" t="s">
        <v>3553</v>
      </c>
    </row>
    <row r="1829" spans="1:7" x14ac:dyDescent="0.2">
      <c r="A1829" s="944">
        <v>39095001303</v>
      </c>
      <c r="B1829" s="239" t="s">
        <v>1835</v>
      </c>
      <c r="C1829" s="286" t="s">
        <v>2975</v>
      </c>
      <c r="D1829" s="865" t="s">
        <v>2975</v>
      </c>
      <c r="E1829" s="287" t="s">
        <v>3562</v>
      </c>
      <c r="F1829" s="287" t="s">
        <v>5176</v>
      </c>
      <c r="G1829" s="288" t="s">
        <v>3553</v>
      </c>
    </row>
    <row r="1830" spans="1:7" x14ac:dyDescent="0.2">
      <c r="A1830" s="944">
        <v>39095001400</v>
      </c>
      <c r="B1830" s="239" t="s">
        <v>1836</v>
      </c>
      <c r="C1830" s="286" t="s">
        <v>4330</v>
      </c>
      <c r="D1830" s="865" t="s">
        <v>4330</v>
      </c>
      <c r="E1830" s="287" t="s">
        <v>3557</v>
      </c>
      <c r="F1830" s="287" t="s">
        <v>5176</v>
      </c>
      <c r="G1830" s="288" t="s">
        <v>3553</v>
      </c>
    </row>
    <row r="1831" spans="1:7" x14ac:dyDescent="0.2">
      <c r="A1831" s="944">
        <v>39095001500</v>
      </c>
      <c r="B1831" s="239" t="s">
        <v>1837</v>
      </c>
      <c r="C1831" s="286" t="s">
        <v>4330</v>
      </c>
      <c r="D1831" s="865" t="s">
        <v>4330</v>
      </c>
      <c r="E1831" s="287" t="s">
        <v>3557</v>
      </c>
      <c r="F1831" s="287" t="s">
        <v>5176</v>
      </c>
      <c r="G1831" s="288" t="s">
        <v>3553</v>
      </c>
    </row>
    <row r="1832" spans="1:7" x14ac:dyDescent="0.2">
      <c r="A1832" s="944">
        <v>39095001600</v>
      </c>
      <c r="B1832" s="239" t="s">
        <v>1838</v>
      </c>
      <c r="C1832" s="286" t="s">
        <v>4330</v>
      </c>
      <c r="D1832" s="865" t="s">
        <v>4330</v>
      </c>
      <c r="E1832" s="287" t="s">
        <v>3566</v>
      </c>
      <c r="F1832" s="287" t="s">
        <v>5176</v>
      </c>
      <c r="G1832" s="288" t="s">
        <v>3553</v>
      </c>
    </row>
    <row r="1833" spans="1:7" x14ac:dyDescent="0.2">
      <c r="A1833" s="944">
        <v>39095001700</v>
      </c>
      <c r="B1833" s="239" t="s">
        <v>1839</v>
      </c>
      <c r="C1833" s="286" t="s">
        <v>4330</v>
      </c>
      <c r="D1833" s="865" t="s">
        <v>4330</v>
      </c>
      <c r="E1833" s="287" t="s">
        <v>3557</v>
      </c>
      <c r="F1833" s="287" t="s">
        <v>5176</v>
      </c>
      <c r="G1833" s="288" t="s">
        <v>3553</v>
      </c>
    </row>
    <row r="1834" spans="1:7" x14ac:dyDescent="0.2">
      <c r="A1834" s="944">
        <v>39095001800</v>
      </c>
      <c r="B1834" s="239" t="s">
        <v>1840</v>
      </c>
      <c r="C1834" s="286" t="s">
        <v>4330</v>
      </c>
      <c r="D1834" s="865" t="s">
        <v>4330</v>
      </c>
      <c r="E1834" s="287" t="s">
        <v>3564</v>
      </c>
      <c r="F1834" s="287" t="s">
        <v>3559</v>
      </c>
      <c r="G1834" s="288" t="s">
        <v>3553</v>
      </c>
    </row>
    <row r="1835" spans="1:7" x14ac:dyDescent="0.2">
      <c r="A1835" s="944">
        <v>39095001900</v>
      </c>
      <c r="B1835" s="239" t="s">
        <v>1841</v>
      </c>
      <c r="C1835" s="286" t="s">
        <v>4330</v>
      </c>
      <c r="D1835" s="865" t="s">
        <v>4330</v>
      </c>
      <c r="E1835" s="287" t="s">
        <v>3557</v>
      </c>
      <c r="F1835" s="287" t="s">
        <v>5176</v>
      </c>
      <c r="G1835" s="288" t="s">
        <v>3553</v>
      </c>
    </row>
    <row r="1836" spans="1:7" x14ac:dyDescent="0.2">
      <c r="A1836" s="944">
        <v>39095002000</v>
      </c>
      <c r="B1836" s="239" t="s">
        <v>1842</v>
      </c>
      <c r="C1836" s="286" t="s">
        <v>2975</v>
      </c>
      <c r="D1836" s="865" t="s">
        <v>4330</v>
      </c>
      <c r="E1836" s="287" t="s">
        <v>3566</v>
      </c>
      <c r="F1836" s="287" t="s">
        <v>5177</v>
      </c>
      <c r="G1836" s="288" t="s">
        <v>3553</v>
      </c>
    </row>
    <row r="1837" spans="1:7" x14ac:dyDescent="0.2">
      <c r="A1837" s="944">
        <v>39095002100</v>
      </c>
      <c r="B1837" s="239" t="s">
        <v>1843</v>
      </c>
      <c r="C1837" s="286" t="s">
        <v>2975</v>
      </c>
      <c r="D1837" s="865" t="s">
        <v>2975</v>
      </c>
      <c r="E1837" s="287" t="s">
        <v>3563</v>
      </c>
      <c r="F1837" s="287" t="s">
        <v>3565</v>
      </c>
      <c r="G1837" s="288" t="s">
        <v>3553</v>
      </c>
    </row>
    <row r="1838" spans="1:7" x14ac:dyDescent="0.2">
      <c r="A1838" s="944">
        <v>39095002200</v>
      </c>
      <c r="B1838" s="239" t="s">
        <v>1844</v>
      </c>
      <c r="C1838" s="286" t="s">
        <v>4330</v>
      </c>
      <c r="D1838" s="865" t="s">
        <v>4330</v>
      </c>
      <c r="E1838" s="287" t="s">
        <v>3557</v>
      </c>
      <c r="F1838" s="287" t="s">
        <v>3565</v>
      </c>
      <c r="G1838" s="288" t="s">
        <v>3553</v>
      </c>
    </row>
    <row r="1839" spans="1:7" x14ac:dyDescent="0.2">
      <c r="A1839" s="944">
        <v>39095002300</v>
      </c>
      <c r="B1839" s="239" t="s">
        <v>1845</v>
      </c>
      <c r="C1839" s="286" t="s">
        <v>4330</v>
      </c>
      <c r="D1839" s="865" t="s">
        <v>4330</v>
      </c>
      <c r="E1839" s="287" t="s">
        <v>3557</v>
      </c>
      <c r="F1839" s="287" t="s">
        <v>3561</v>
      </c>
      <c r="G1839" s="288" t="s">
        <v>3553</v>
      </c>
    </row>
    <row r="1840" spans="1:7" x14ac:dyDescent="0.2">
      <c r="A1840" s="944">
        <v>39095002401</v>
      </c>
      <c r="B1840" s="239" t="s">
        <v>1846</v>
      </c>
      <c r="C1840" s="286" t="s">
        <v>4330</v>
      </c>
      <c r="D1840" s="865" t="s">
        <v>4330</v>
      </c>
      <c r="E1840" s="287" t="s">
        <v>3563</v>
      </c>
      <c r="F1840" s="287" t="s">
        <v>3558</v>
      </c>
      <c r="G1840" s="288" t="s">
        <v>3553</v>
      </c>
    </row>
    <row r="1841" spans="1:7" x14ac:dyDescent="0.2">
      <c r="A1841" s="944">
        <v>39095002402</v>
      </c>
      <c r="B1841" s="239" t="s">
        <v>1847</v>
      </c>
      <c r="C1841" s="286" t="s">
        <v>4330</v>
      </c>
      <c r="D1841" s="865" t="s">
        <v>4330</v>
      </c>
      <c r="E1841" s="287" t="s">
        <v>3557</v>
      </c>
      <c r="F1841" s="287" t="s">
        <v>5176</v>
      </c>
      <c r="G1841" s="288" t="s">
        <v>3553</v>
      </c>
    </row>
    <row r="1842" spans="1:7" x14ac:dyDescent="0.2">
      <c r="A1842" s="944">
        <v>39095002500</v>
      </c>
      <c r="B1842" s="239" t="s">
        <v>1848</v>
      </c>
      <c r="C1842" s="286" t="s">
        <v>4330</v>
      </c>
      <c r="D1842" s="865" t="s">
        <v>4330</v>
      </c>
      <c r="E1842" s="287" t="s">
        <v>3557</v>
      </c>
      <c r="F1842" s="287" t="s">
        <v>5176</v>
      </c>
      <c r="G1842" s="288" t="s">
        <v>3553</v>
      </c>
    </row>
    <row r="1843" spans="1:7" x14ac:dyDescent="0.2">
      <c r="A1843" s="944">
        <v>39095002600</v>
      </c>
      <c r="B1843" s="239" t="s">
        <v>1849</v>
      </c>
      <c r="C1843" s="286" t="s">
        <v>2975</v>
      </c>
      <c r="D1843" s="865" t="s">
        <v>2975</v>
      </c>
      <c r="E1843" s="287" t="s">
        <v>3563</v>
      </c>
      <c r="F1843" s="287" t="s">
        <v>5177</v>
      </c>
      <c r="G1843" s="288" t="s">
        <v>3553</v>
      </c>
    </row>
    <row r="1844" spans="1:7" x14ac:dyDescent="0.2">
      <c r="A1844" s="944">
        <v>39095002700</v>
      </c>
      <c r="B1844" s="239" t="s">
        <v>1850</v>
      </c>
      <c r="C1844" s="286" t="s">
        <v>4330</v>
      </c>
      <c r="D1844" s="865" t="s">
        <v>4330</v>
      </c>
      <c r="E1844" s="287" t="s">
        <v>3557</v>
      </c>
      <c r="F1844" s="287" t="s">
        <v>3559</v>
      </c>
      <c r="G1844" s="288" t="s">
        <v>3553</v>
      </c>
    </row>
    <row r="1845" spans="1:7" x14ac:dyDescent="0.2">
      <c r="A1845" s="944">
        <v>39095002800</v>
      </c>
      <c r="B1845" s="239" t="s">
        <v>1851</v>
      </c>
      <c r="C1845" s="286" t="s">
        <v>4330</v>
      </c>
      <c r="D1845" s="865" t="s">
        <v>4330</v>
      </c>
      <c r="E1845" s="287" t="s">
        <v>3564</v>
      </c>
      <c r="F1845" s="287" t="s">
        <v>5176</v>
      </c>
      <c r="G1845" s="288" t="s">
        <v>3553</v>
      </c>
    </row>
    <row r="1846" spans="1:7" x14ac:dyDescent="0.2">
      <c r="A1846" s="944">
        <v>39095002900</v>
      </c>
      <c r="B1846" s="239" t="s">
        <v>1852</v>
      </c>
      <c r="C1846" s="286" t="s">
        <v>4330</v>
      </c>
      <c r="D1846" s="865" t="s">
        <v>4330</v>
      </c>
      <c r="E1846" s="287" t="s">
        <v>3557</v>
      </c>
      <c r="F1846" s="287" t="s">
        <v>3561</v>
      </c>
      <c r="G1846" s="288" t="s">
        <v>3553</v>
      </c>
    </row>
    <row r="1847" spans="1:7" x14ac:dyDescent="0.2">
      <c r="A1847" s="944">
        <v>39095003000</v>
      </c>
      <c r="B1847" s="239" t="s">
        <v>1853</v>
      </c>
      <c r="C1847" s="286" t="s">
        <v>4330</v>
      </c>
      <c r="D1847" s="865" t="s">
        <v>4330</v>
      </c>
      <c r="E1847" s="287" t="s">
        <v>3557</v>
      </c>
      <c r="F1847" s="287" t="s">
        <v>3558</v>
      </c>
      <c r="G1847" s="288" t="s">
        <v>3553</v>
      </c>
    </row>
    <row r="1848" spans="1:7" x14ac:dyDescent="0.2">
      <c r="A1848" s="944">
        <v>39095003100</v>
      </c>
      <c r="B1848" s="239" t="s">
        <v>1854</v>
      </c>
      <c r="C1848" s="286" t="s">
        <v>2975</v>
      </c>
      <c r="D1848" s="865" t="s">
        <v>4330</v>
      </c>
      <c r="E1848" s="287" t="s">
        <v>3566</v>
      </c>
      <c r="F1848" s="287" t="s">
        <v>5177</v>
      </c>
      <c r="G1848" s="288" t="s">
        <v>3553</v>
      </c>
    </row>
    <row r="1849" spans="1:7" x14ac:dyDescent="0.2">
      <c r="A1849" s="944">
        <v>39095003200</v>
      </c>
      <c r="B1849" s="239" t="s">
        <v>1855</v>
      </c>
      <c r="C1849" s="286" t="s">
        <v>4330</v>
      </c>
      <c r="D1849" s="865" t="s">
        <v>4330</v>
      </c>
      <c r="E1849" s="287" t="s">
        <v>3564</v>
      </c>
      <c r="F1849" s="287" t="s">
        <v>3559</v>
      </c>
      <c r="G1849" s="288" t="s">
        <v>3553</v>
      </c>
    </row>
    <row r="1850" spans="1:7" x14ac:dyDescent="0.2">
      <c r="A1850" s="944">
        <v>39095003300</v>
      </c>
      <c r="B1850" s="239" t="s">
        <v>1856</v>
      </c>
      <c r="C1850" s="286" t="s">
        <v>4330</v>
      </c>
      <c r="D1850" s="865" t="s">
        <v>4330</v>
      </c>
      <c r="E1850" s="287" t="s">
        <v>3557</v>
      </c>
      <c r="F1850" s="287" t="s">
        <v>5177</v>
      </c>
      <c r="G1850" s="288" t="s">
        <v>3553</v>
      </c>
    </row>
    <row r="1851" spans="1:7" x14ac:dyDescent="0.2">
      <c r="A1851" s="944">
        <v>39095003400</v>
      </c>
      <c r="B1851" s="239" t="s">
        <v>1857</v>
      </c>
      <c r="C1851" s="286" t="s">
        <v>4330</v>
      </c>
      <c r="D1851" s="865" t="s">
        <v>4330</v>
      </c>
      <c r="E1851" s="287" t="s">
        <v>3557</v>
      </c>
      <c r="F1851" s="287" t="s">
        <v>5177</v>
      </c>
      <c r="G1851" s="288" t="s">
        <v>3553</v>
      </c>
    </row>
    <row r="1852" spans="1:7" x14ac:dyDescent="0.2">
      <c r="A1852" s="944">
        <v>39095003500</v>
      </c>
      <c r="B1852" s="239" t="s">
        <v>1858</v>
      </c>
      <c r="C1852" s="286" t="s">
        <v>4330</v>
      </c>
      <c r="D1852" s="865" t="s">
        <v>4330</v>
      </c>
      <c r="E1852" s="287" t="s">
        <v>3566</v>
      </c>
      <c r="F1852" s="287" t="s">
        <v>5177</v>
      </c>
      <c r="G1852" s="288" t="s">
        <v>3553</v>
      </c>
    </row>
    <row r="1853" spans="1:7" x14ac:dyDescent="0.2">
      <c r="A1853" s="944">
        <v>39095003600</v>
      </c>
      <c r="B1853" s="239" t="s">
        <v>1859</v>
      </c>
      <c r="C1853" s="286" t="s">
        <v>4330</v>
      </c>
      <c r="D1853" s="865" t="s">
        <v>4330</v>
      </c>
      <c r="E1853" s="287" t="s">
        <v>3564</v>
      </c>
      <c r="F1853" s="287" t="s">
        <v>5177</v>
      </c>
      <c r="G1853" s="288" t="s">
        <v>3553</v>
      </c>
    </row>
    <row r="1854" spans="1:7" x14ac:dyDescent="0.2">
      <c r="A1854" s="944">
        <v>39095003700</v>
      </c>
      <c r="B1854" s="239" t="s">
        <v>1860</v>
      </c>
      <c r="C1854" s="286" t="s">
        <v>4330</v>
      </c>
      <c r="D1854" s="865" t="s">
        <v>4330</v>
      </c>
      <c r="E1854" s="287" t="s">
        <v>3563</v>
      </c>
      <c r="F1854" s="287" t="s">
        <v>5177</v>
      </c>
      <c r="G1854" s="288" t="s">
        <v>3553</v>
      </c>
    </row>
    <row r="1855" spans="1:7" x14ac:dyDescent="0.2">
      <c r="A1855" s="944">
        <v>39095003900</v>
      </c>
      <c r="B1855" s="239" t="s">
        <v>1861</v>
      </c>
      <c r="C1855" s="286" t="s">
        <v>2975</v>
      </c>
      <c r="D1855" s="865" t="s">
        <v>2975</v>
      </c>
      <c r="E1855" s="287" t="s">
        <v>3566</v>
      </c>
      <c r="F1855" s="287" t="s">
        <v>3558</v>
      </c>
      <c r="G1855" s="288" t="s">
        <v>3553</v>
      </c>
    </row>
    <row r="1856" spans="1:7" x14ac:dyDescent="0.2">
      <c r="A1856" s="944">
        <v>39095004000</v>
      </c>
      <c r="B1856" s="239" t="s">
        <v>1862</v>
      </c>
      <c r="C1856" s="286" t="s">
        <v>4330</v>
      </c>
      <c r="D1856" s="865" t="s">
        <v>4330</v>
      </c>
      <c r="E1856" s="287" t="s">
        <v>3566</v>
      </c>
      <c r="F1856" s="287" t="s">
        <v>5176</v>
      </c>
      <c r="G1856" s="288" t="s">
        <v>3553</v>
      </c>
    </row>
    <row r="1857" spans="1:7" x14ac:dyDescent="0.2">
      <c r="A1857" s="944">
        <v>39095004200</v>
      </c>
      <c r="B1857" s="239" t="s">
        <v>1863</v>
      </c>
      <c r="C1857" s="286" t="s">
        <v>4330</v>
      </c>
      <c r="D1857" s="865" t="s">
        <v>4330</v>
      </c>
      <c r="E1857" s="287" t="s">
        <v>3564</v>
      </c>
      <c r="F1857" s="287" t="s">
        <v>5177</v>
      </c>
      <c r="G1857" s="288" t="s">
        <v>3553</v>
      </c>
    </row>
    <row r="1858" spans="1:7" x14ac:dyDescent="0.2">
      <c r="A1858" s="944">
        <v>39095004400</v>
      </c>
      <c r="B1858" s="239" t="s">
        <v>1864</v>
      </c>
      <c r="C1858" s="286" t="s">
        <v>4330</v>
      </c>
      <c r="D1858" s="865" t="s">
        <v>4330</v>
      </c>
      <c r="E1858" s="287" t="s">
        <v>3563</v>
      </c>
      <c r="F1858" s="287" t="s">
        <v>5176</v>
      </c>
      <c r="G1858" s="288" t="s">
        <v>3553</v>
      </c>
    </row>
    <row r="1859" spans="1:7" x14ac:dyDescent="0.2">
      <c r="A1859" s="944">
        <v>39095004501</v>
      </c>
      <c r="B1859" s="239" t="s">
        <v>1865</v>
      </c>
      <c r="C1859" s="286" t="s">
        <v>2975</v>
      </c>
      <c r="D1859" s="865" t="s">
        <v>2975</v>
      </c>
      <c r="E1859" s="287" t="s">
        <v>3562</v>
      </c>
      <c r="F1859" s="287" t="s">
        <v>3565</v>
      </c>
      <c r="G1859" s="288" t="s">
        <v>3553</v>
      </c>
    </row>
    <row r="1860" spans="1:7" x14ac:dyDescent="0.2">
      <c r="A1860" s="944">
        <v>39095004503</v>
      </c>
      <c r="B1860" s="239" t="s">
        <v>1866</v>
      </c>
      <c r="C1860" s="286" t="s">
        <v>2975</v>
      </c>
      <c r="D1860" s="865" t="s">
        <v>2975</v>
      </c>
      <c r="E1860" s="287" t="s">
        <v>3564</v>
      </c>
      <c r="F1860" s="287" t="s">
        <v>3559</v>
      </c>
      <c r="G1860" s="288" t="s">
        <v>3569</v>
      </c>
    </row>
    <row r="1861" spans="1:7" x14ac:dyDescent="0.2">
      <c r="A1861" s="944">
        <v>39095004504</v>
      </c>
      <c r="B1861" s="239" t="s">
        <v>1867</v>
      </c>
      <c r="C1861" s="286" t="s">
        <v>2975</v>
      </c>
      <c r="D1861" s="865" t="s">
        <v>2975</v>
      </c>
      <c r="E1861" s="287" t="s">
        <v>3562</v>
      </c>
      <c r="F1861" s="287" t="s">
        <v>5176</v>
      </c>
      <c r="G1861" s="288" t="s">
        <v>3553</v>
      </c>
    </row>
    <row r="1862" spans="1:7" x14ac:dyDescent="0.2">
      <c r="A1862" s="944">
        <v>39095004600</v>
      </c>
      <c r="B1862" s="239" t="s">
        <v>1868</v>
      </c>
      <c r="C1862" s="286" t="s">
        <v>2975</v>
      </c>
      <c r="D1862" s="865" t="s">
        <v>2975</v>
      </c>
      <c r="E1862" s="287" t="s">
        <v>3566</v>
      </c>
      <c r="F1862" s="287" t="s">
        <v>3558</v>
      </c>
      <c r="G1862" s="288" t="s">
        <v>3553</v>
      </c>
    </row>
    <row r="1863" spans="1:7" x14ac:dyDescent="0.2">
      <c r="A1863" s="944">
        <v>39095004701</v>
      </c>
      <c r="B1863" s="239" t="s">
        <v>1869</v>
      </c>
      <c r="C1863" s="286" t="s">
        <v>4330</v>
      </c>
      <c r="D1863" s="865" t="s">
        <v>4330</v>
      </c>
      <c r="E1863" s="287" t="s">
        <v>3566</v>
      </c>
      <c r="F1863" s="287" t="s">
        <v>3565</v>
      </c>
      <c r="G1863" s="288" t="s">
        <v>3553</v>
      </c>
    </row>
    <row r="1864" spans="1:7" x14ac:dyDescent="0.2">
      <c r="A1864" s="944">
        <v>39095004702</v>
      </c>
      <c r="B1864" s="239" t="s">
        <v>1870</v>
      </c>
      <c r="C1864" s="286" t="s">
        <v>4330</v>
      </c>
      <c r="D1864" s="865" t="s">
        <v>4330</v>
      </c>
      <c r="E1864" s="287" t="s">
        <v>3566</v>
      </c>
      <c r="F1864" s="287" t="s">
        <v>5176</v>
      </c>
      <c r="G1864" s="288" t="s">
        <v>3553</v>
      </c>
    </row>
    <row r="1865" spans="1:7" x14ac:dyDescent="0.2">
      <c r="A1865" s="944">
        <v>39095004800</v>
      </c>
      <c r="B1865" s="239" t="s">
        <v>1871</v>
      </c>
      <c r="C1865" s="286" t="s">
        <v>4330</v>
      </c>
      <c r="D1865" s="865" t="s">
        <v>4330</v>
      </c>
      <c r="E1865" s="287" t="s">
        <v>3566</v>
      </c>
      <c r="F1865" s="287" t="s">
        <v>3558</v>
      </c>
      <c r="G1865" s="288" t="s">
        <v>3553</v>
      </c>
    </row>
    <row r="1866" spans="1:7" x14ac:dyDescent="0.2">
      <c r="A1866" s="944">
        <v>39095004900</v>
      </c>
      <c r="B1866" s="239" t="s">
        <v>1872</v>
      </c>
      <c r="C1866" s="286" t="s">
        <v>4330</v>
      </c>
      <c r="D1866" s="865" t="s">
        <v>4330</v>
      </c>
      <c r="E1866" s="287" t="s">
        <v>3566</v>
      </c>
      <c r="F1866" s="287" t="s">
        <v>3559</v>
      </c>
      <c r="G1866" s="288" t="s">
        <v>3553</v>
      </c>
    </row>
    <row r="1867" spans="1:7" x14ac:dyDescent="0.2">
      <c r="A1867" s="944">
        <v>39095005000</v>
      </c>
      <c r="B1867" s="239" t="s">
        <v>1873</v>
      </c>
      <c r="C1867" s="286" t="s">
        <v>2975</v>
      </c>
      <c r="D1867" s="865" t="s">
        <v>2975</v>
      </c>
      <c r="E1867" s="287" t="s">
        <v>3563</v>
      </c>
      <c r="F1867" s="287" t="s">
        <v>3565</v>
      </c>
      <c r="G1867" s="288" t="s">
        <v>3553</v>
      </c>
    </row>
    <row r="1868" spans="1:7" x14ac:dyDescent="0.2">
      <c r="A1868" s="944">
        <v>39095005100</v>
      </c>
      <c r="B1868" s="239" t="s">
        <v>1874</v>
      </c>
      <c r="C1868" s="286" t="s">
        <v>4330</v>
      </c>
      <c r="D1868" s="865" t="s">
        <v>4330</v>
      </c>
      <c r="E1868" s="287" t="s">
        <v>3557</v>
      </c>
      <c r="F1868" s="287" t="s">
        <v>5176</v>
      </c>
      <c r="G1868" s="288" t="s">
        <v>3553</v>
      </c>
    </row>
    <row r="1869" spans="1:7" x14ac:dyDescent="0.2">
      <c r="A1869" s="944">
        <v>39095005200</v>
      </c>
      <c r="B1869" s="239" t="s">
        <v>1875</v>
      </c>
      <c r="C1869" s="286" t="s">
        <v>2975</v>
      </c>
      <c r="D1869" s="865" t="s">
        <v>2975</v>
      </c>
      <c r="E1869" s="287" t="s">
        <v>3563</v>
      </c>
      <c r="F1869" s="287" t="s">
        <v>5176</v>
      </c>
      <c r="G1869" s="288" t="s">
        <v>3553</v>
      </c>
    </row>
    <row r="1870" spans="1:7" x14ac:dyDescent="0.2">
      <c r="A1870" s="944">
        <v>39095005300</v>
      </c>
      <c r="B1870" s="239" t="s">
        <v>1876</v>
      </c>
      <c r="C1870" s="286" t="s">
        <v>4330</v>
      </c>
      <c r="D1870" s="865" t="s">
        <v>4330</v>
      </c>
      <c r="E1870" s="287" t="s">
        <v>3563</v>
      </c>
      <c r="F1870" s="287" t="s">
        <v>3558</v>
      </c>
      <c r="G1870" s="288" t="s">
        <v>3553</v>
      </c>
    </row>
    <row r="1871" spans="1:7" x14ac:dyDescent="0.2">
      <c r="A1871" s="944">
        <v>39095005400</v>
      </c>
      <c r="B1871" s="239" t="s">
        <v>1877</v>
      </c>
      <c r="C1871" s="286" t="s">
        <v>4330</v>
      </c>
      <c r="D1871" s="865" t="s">
        <v>4330</v>
      </c>
      <c r="E1871" s="287" t="s">
        <v>3557</v>
      </c>
      <c r="F1871" s="287" t="s">
        <v>3559</v>
      </c>
      <c r="G1871" s="288" t="s">
        <v>3553</v>
      </c>
    </row>
    <row r="1872" spans="1:7" x14ac:dyDescent="0.2">
      <c r="A1872" s="944">
        <v>39095005501</v>
      </c>
      <c r="B1872" s="239" t="s">
        <v>1878</v>
      </c>
      <c r="C1872" s="286" t="s">
        <v>2975</v>
      </c>
      <c r="D1872" s="865" t="s">
        <v>2975</v>
      </c>
      <c r="E1872" s="287" t="s">
        <v>3557</v>
      </c>
      <c r="F1872" s="287" t="s">
        <v>3565</v>
      </c>
      <c r="G1872" s="288" t="s">
        <v>3569</v>
      </c>
    </row>
    <row r="1873" spans="1:7" x14ac:dyDescent="0.2">
      <c r="A1873" s="944">
        <v>39095005502</v>
      </c>
      <c r="B1873" s="239" t="s">
        <v>1879</v>
      </c>
      <c r="C1873" s="286" t="s">
        <v>2975</v>
      </c>
      <c r="D1873" s="865" t="s">
        <v>2975</v>
      </c>
      <c r="E1873" s="287" t="s">
        <v>3564</v>
      </c>
      <c r="F1873" s="287" t="s">
        <v>3558</v>
      </c>
      <c r="G1873" s="288" t="s">
        <v>3569</v>
      </c>
    </row>
    <row r="1874" spans="1:7" x14ac:dyDescent="0.2">
      <c r="A1874" s="944">
        <v>39095005503</v>
      </c>
      <c r="B1874" s="239" t="s">
        <v>1880</v>
      </c>
      <c r="C1874" s="286" t="s">
        <v>2975</v>
      </c>
      <c r="D1874" s="865" t="s">
        <v>2975</v>
      </c>
      <c r="E1874" s="287" t="s">
        <v>3564</v>
      </c>
      <c r="F1874" s="287" t="s">
        <v>3558</v>
      </c>
      <c r="G1874" s="288" t="s">
        <v>3569</v>
      </c>
    </row>
    <row r="1875" spans="1:7" x14ac:dyDescent="0.2">
      <c r="A1875" s="944">
        <v>39095005600</v>
      </c>
      <c r="B1875" s="239" t="s">
        <v>1881</v>
      </c>
      <c r="C1875" s="286" t="s">
        <v>2975</v>
      </c>
      <c r="D1875" s="865" t="s">
        <v>2975</v>
      </c>
      <c r="E1875" s="287" t="s">
        <v>3566</v>
      </c>
      <c r="F1875" s="287" t="s">
        <v>3558</v>
      </c>
      <c r="G1875" s="288" t="s">
        <v>3569</v>
      </c>
    </row>
    <row r="1876" spans="1:7" x14ac:dyDescent="0.2">
      <c r="A1876" s="944">
        <v>39095005701</v>
      </c>
      <c r="B1876" s="239" t="s">
        <v>1882</v>
      </c>
      <c r="C1876" s="286" t="s">
        <v>2975</v>
      </c>
      <c r="D1876" s="865" t="s">
        <v>2975</v>
      </c>
      <c r="E1876" s="287" t="s">
        <v>3557</v>
      </c>
      <c r="F1876" s="287" t="s">
        <v>3559</v>
      </c>
      <c r="G1876" s="288" t="s">
        <v>3569</v>
      </c>
    </row>
    <row r="1877" spans="1:7" x14ac:dyDescent="0.2">
      <c r="A1877" s="944">
        <v>39095005702</v>
      </c>
      <c r="B1877" s="239" t="s">
        <v>1883</v>
      </c>
      <c r="C1877" s="286" t="s">
        <v>2975</v>
      </c>
      <c r="D1877" s="865" t="s">
        <v>2975</v>
      </c>
      <c r="E1877" s="287" t="s">
        <v>3557</v>
      </c>
      <c r="F1877" s="287" t="s">
        <v>3559</v>
      </c>
      <c r="G1877" s="288" t="s">
        <v>3569</v>
      </c>
    </row>
    <row r="1878" spans="1:7" x14ac:dyDescent="0.2">
      <c r="A1878" s="944">
        <v>39095005703</v>
      </c>
      <c r="B1878" s="239" t="s">
        <v>1884</v>
      </c>
      <c r="C1878" s="286" t="s">
        <v>2975</v>
      </c>
      <c r="D1878" s="865" t="s">
        <v>2975</v>
      </c>
      <c r="E1878" s="287" t="s">
        <v>3563</v>
      </c>
      <c r="F1878" s="287" t="s">
        <v>5177</v>
      </c>
      <c r="G1878" s="288" t="s">
        <v>3553</v>
      </c>
    </row>
    <row r="1879" spans="1:7" x14ac:dyDescent="0.2">
      <c r="A1879" s="944">
        <v>39095005801</v>
      </c>
      <c r="B1879" s="239" t="s">
        <v>1885</v>
      </c>
      <c r="C1879" s="286" t="s">
        <v>2975</v>
      </c>
      <c r="D1879" s="865" t="s">
        <v>2975</v>
      </c>
      <c r="E1879" s="287" t="s">
        <v>3564</v>
      </c>
      <c r="F1879" s="287" t="s">
        <v>3565</v>
      </c>
      <c r="G1879" s="288" t="s">
        <v>3569</v>
      </c>
    </row>
    <row r="1880" spans="1:7" x14ac:dyDescent="0.2">
      <c r="A1880" s="944">
        <v>39095005802</v>
      </c>
      <c r="B1880" s="239" t="s">
        <v>1886</v>
      </c>
      <c r="C1880" s="286" t="s">
        <v>2975</v>
      </c>
      <c r="D1880" s="865" t="s">
        <v>2975</v>
      </c>
      <c r="E1880" s="287" t="s">
        <v>3563</v>
      </c>
      <c r="F1880" s="287" t="s">
        <v>5176</v>
      </c>
      <c r="G1880" s="288" t="s">
        <v>3553</v>
      </c>
    </row>
    <row r="1881" spans="1:7" x14ac:dyDescent="0.2">
      <c r="A1881" s="944">
        <v>39095005901</v>
      </c>
      <c r="B1881" s="239" t="s">
        <v>1887</v>
      </c>
      <c r="C1881" s="286" t="s">
        <v>2975</v>
      </c>
      <c r="D1881" s="865" t="s">
        <v>2975</v>
      </c>
      <c r="E1881" s="287" t="s">
        <v>3566</v>
      </c>
      <c r="F1881" s="287" t="s">
        <v>3565</v>
      </c>
      <c r="G1881" s="288" t="s">
        <v>3569</v>
      </c>
    </row>
    <row r="1882" spans="1:7" x14ac:dyDescent="0.2">
      <c r="A1882" s="944">
        <v>39095005902</v>
      </c>
      <c r="B1882" s="239" t="s">
        <v>1888</v>
      </c>
      <c r="C1882" s="286" t="s">
        <v>2975</v>
      </c>
      <c r="D1882" s="865" t="s">
        <v>2975</v>
      </c>
      <c r="E1882" s="287" t="s">
        <v>3562</v>
      </c>
      <c r="F1882" s="287" t="s">
        <v>5177</v>
      </c>
      <c r="G1882" s="288" t="s">
        <v>3553</v>
      </c>
    </row>
    <row r="1883" spans="1:7" x14ac:dyDescent="0.2">
      <c r="A1883" s="944">
        <v>39095006000</v>
      </c>
      <c r="B1883" s="239" t="s">
        <v>1889</v>
      </c>
      <c r="C1883" s="286" t="s">
        <v>2975</v>
      </c>
      <c r="D1883" s="865" t="s">
        <v>2975</v>
      </c>
      <c r="E1883" s="287" t="s">
        <v>3563</v>
      </c>
      <c r="F1883" s="287" t="s">
        <v>5177</v>
      </c>
      <c r="G1883" s="288" t="s">
        <v>3569</v>
      </c>
    </row>
    <row r="1884" spans="1:7" x14ac:dyDescent="0.2">
      <c r="A1884" s="944">
        <v>39095006100</v>
      </c>
      <c r="B1884" s="239" t="s">
        <v>1890</v>
      </c>
      <c r="C1884" s="286" t="s">
        <v>2975</v>
      </c>
      <c r="D1884" s="865" t="s">
        <v>2975</v>
      </c>
      <c r="E1884" s="287" t="s">
        <v>3562</v>
      </c>
      <c r="F1884" s="287" t="s">
        <v>5176</v>
      </c>
      <c r="G1884" s="288" t="s">
        <v>3553</v>
      </c>
    </row>
    <row r="1885" spans="1:7" x14ac:dyDescent="0.2">
      <c r="A1885" s="944">
        <v>39095006200</v>
      </c>
      <c r="B1885" s="239" t="s">
        <v>1891</v>
      </c>
      <c r="C1885" s="286" t="s">
        <v>2975</v>
      </c>
      <c r="D1885" s="865" t="s">
        <v>2975</v>
      </c>
      <c r="E1885" s="287" t="s">
        <v>3562</v>
      </c>
      <c r="F1885" s="287" t="s">
        <v>3558</v>
      </c>
      <c r="G1885" s="288" t="s">
        <v>3553</v>
      </c>
    </row>
    <row r="1886" spans="1:7" x14ac:dyDescent="0.2">
      <c r="A1886" s="944">
        <v>39095006300</v>
      </c>
      <c r="B1886" s="239" t="s">
        <v>1892</v>
      </c>
      <c r="C1886" s="286" t="s">
        <v>2975</v>
      </c>
      <c r="D1886" s="865" t="s">
        <v>2975</v>
      </c>
      <c r="E1886" s="287" t="s">
        <v>3562</v>
      </c>
      <c r="F1886" s="287" t="s">
        <v>3558</v>
      </c>
      <c r="G1886" s="288" t="s">
        <v>3553</v>
      </c>
    </row>
    <row r="1887" spans="1:7" x14ac:dyDescent="0.2">
      <c r="A1887" s="944">
        <v>39095006400</v>
      </c>
      <c r="B1887" s="239" t="s">
        <v>1893</v>
      </c>
      <c r="C1887" s="286" t="s">
        <v>2975</v>
      </c>
      <c r="D1887" s="865" t="s">
        <v>2975</v>
      </c>
      <c r="E1887" s="287" t="s">
        <v>3562</v>
      </c>
      <c r="F1887" s="287" t="s">
        <v>5177</v>
      </c>
      <c r="G1887" s="288" t="s">
        <v>3553</v>
      </c>
    </row>
    <row r="1888" spans="1:7" x14ac:dyDescent="0.2">
      <c r="A1888" s="944">
        <v>39095006500</v>
      </c>
      <c r="B1888" s="239" t="s">
        <v>1894</v>
      </c>
      <c r="C1888" s="286" t="s">
        <v>2975</v>
      </c>
      <c r="D1888" s="865" t="s">
        <v>2975</v>
      </c>
      <c r="E1888" s="287" t="s">
        <v>3562</v>
      </c>
      <c r="F1888" s="287" t="s">
        <v>3560</v>
      </c>
      <c r="G1888" s="288" t="s">
        <v>3553</v>
      </c>
    </row>
    <row r="1889" spans="1:7" x14ac:dyDescent="0.2">
      <c r="A1889" s="944">
        <v>39095006600</v>
      </c>
      <c r="B1889" s="239" t="s">
        <v>1895</v>
      </c>
      <c r="C1889" s="286" t="s">
        <v>4330</v>
      </c>
      <c r="D1889" s="865" t="s">
        <v>4330</v>
      </c>
      <c r="E1889" s="287" t="s">
        <v>3566</v>
      </c>
      <c r="F1889" s="287" t="s">
        <v>3560</v>
      </c>
      <c r="G1889" s="288" t="s">
        <v>3553</v>
      </c>
    </row>
    <row r="1890" spans="1:7" x14ac:dyDescent="0.2">
      <c r="A1890" s="944">
        <v>39095006700</v>
      </c>
      <c r="B1890" s="239" t="s">
        <v>1896</v>
      </c>
      <c r="C1890" s="286" t="s">
        <v>4330</v>
      </c>
      <c r="D1890" s="865" t="s">
        <v>4330</v>
      </c>
      <c r="E1890" s="287" t="s">
        <v>3563</v>
      </c>
      <c r="F1890" s="287" t="s">
        <v>3560</v>
      </c>
      <c r="G1890" s="288" t="s">
        <v>3553</v>
      </c>
    </row>
    <row r="1891" spans="1:7" x14ac:dyDescent="0.2">
      <c r="A1891" s="944">
        <v>39095006800</v>
      </c>
      <c r="B1891" s="239" t="s">
        <v>1897</v>
      </c>
      <c r="C1891" s="286" t="s">
        <v>4330</v>
      </c>
      <c r="D1891" s="865" t="s">
        <v>4330</v>
      </c>
      <c r="E1891" s="287" t="s">
        <v>3557</v>
      </c>
      <c r="F1891" s="287" t="s">
        <v>3565</v>
      </c>
      <c r="G1891" s="288" t="s">
        <v>3569</v>
      </c>
    </row>
    <row r="1892" spans="1:7" x14ac:dyDescent="0.2">
      <c r="A1892" s="944">
        <v>39095006900</v>
      </c>
      <c r="B1892" s="239" t="s">
        <v>1898</v>
      </c>
      <c r="C1892" s="286" t="s">
        <v>2975</v>
      </c>
      <c r="D1892" s="865" t="s">
        <v>2975</v>
      </c>
      <c r="E1892" s="287" t="s">
        <v>3566</v>
      </c>
      <c r="F1892" s="287" t="s">
        <v>5176</v>
      </c>
      <c r="G1892" s="288" t="s">
        <v>3569</v>
      </c>
    </row>
    <row r="1893" spans="1:7" x14ac:dyDescent="0.2">
      <c r="A1893" s="944">
        <v>39095007001</v>
      </c>
      <c r="B1893" s="239" t="s">
        <v>1899</v>
      </c>
      <c r="C1893" s="286" t="s">
        <v>2975</v>
      </c>
      <c r="D1893" s="865" t="s">
        <v>2975</v>
      </c>
      <c r="E1893" s="287" t="s">
        <v>3563</v>
      </c>
      <c r="F1893" s="287" t="s">
        <v>5177</v>
      </c>
      <c r="G1893" s="288" t="s">
        <v>3569</v>
      </c>
    </row>
    <row r="1894" spans="1:7" x14ac:dyDescent="0.2">
      <c r="A1894" s="944">
        <v>39095007002</v>
      </c>
      <c r="B1894" s="239" t="s">
        <v>1900</v>
      </c>
      <c r="C1894" s="286" t="s">
        <v>2975</v>
      </c>
      <c r="D1894" s="865" t="s">
        <v>2975</v>
      </c>
      <c r="E1894" s="287" t="s">
        <v>3563</v>
      </c>
      <c r="F1894" s="287" t="s">
        <v>3565</v>
      </c>
      <c r="G1894" s="288" t="s">
        <v>3569</v>
      </c>
    </row>
    <row r="1895" spans="1:7" x14ac:dyDescent="0.2">
      <c r="A1895" s="944">
        <v>39095007101</v>
      </c>
      <c r="B1895" s="239" t="s">
        <v>1901</v>
      </c>
      <c r="C1895" s="286" t="s">
        <v>2975</v>
      </c>
      <c r="D1895" s="865" t="s">
        <v>2975</v>
      </c>
      <c r="E1895" s="287" t="s">
        <v>3563</v>
      </c>
      <c r="F1895" s="287" t="s">
        <v>3559</v>
      </c>
      <c r="G1895" s="288" t="s">
        <v>3569</v>
      </c>
    </row>
    <row r="1896" spans="1:7" x14ac:dyDescent="0.2">
      <c r="A1896" s="944">
        <v>39095007102</v>
      </c>
      <c r="B1896" s="239" t="s">
        <v>1902</v>
      </c>
      <c r="C1896" s="286" t="s">
        <v>2975</v>
      </c>
      <c r="D1896" s="865" t="s">
        <v>2975</v>
      </c>
      <c r="E1896" s="287" t="s">
        <v>3563</v>
      </c>
      <c r="F1896" s="287" t="s">
        <v>3558</v>
      </c>
      <c r="G1896" s="288" t="s">
        <v>3569</v>
      </c>
    </row>
    <row r="1897" spans="1:7" x14ac:dyDescent="0.2">
      <c r="A1897" s="944">
        <v>39095007202</v>
      </c>
      <c r="B1897" s="239" t="s">
        <v>1903</v>
      </c>
      <c r="C1897" s="286" t="s">
        <v>2975</v>
      </c>
      <c r="D1897" s="865" t="s">
        <v>2975</v>
      </c>
      <c r="E1897" s="287" t="s">
        <v>3566</v>
      </c>
      <c r="F1897" s="287" t="s">
        <v>3559</v>
      </c>
      <c r="G1897" s="288" t="s">
        <v>3569</v>
      </c>
    </row>
    <row r="1898" spans="1:7" x14ac:dyDescent="0.2">
      <c r="A1898" s="944">
        <v>39095007203</v>
      </c>
      <c r="B1898" s="239" t="s">
        <v>1904</v>
      </c>
      <c r="C1898" s="286" t="s">
        <v>2975</v>
      </c>
      <c r="D1898" s="865" t="s">
        <v>2975</v>
      </c>
      <c r="E1898" s="287" t="s">
        <v>3566</v>
      </c>
      <c r="F1898" s="287" t="s">
        <v>3565</v>
      </c>
      <c r="G1898" s="288" t="s">
        <v>3569</v>
      </c>
    </row>
    <row r="1899" spans="1:7" x14ac:dyDescent="0.2">
      <c r="A1899" s="944">
        <v>39095007204</v>
      </c>
      <c r="B1899" s="239" t="s">
        <v>1905</v>
      </c>
      <c r="C1899" s="286" t="s">
        <v>2975</v>
      </c>
      <c r="D1899" s="865" t="s">
        <v>2975</v>
      </c>
      <c r="E1899" s="287" t="s">
        <v>3566</v>
      </c>
      <c r="F1899" s="287" t="s">
        <v>5176</v>
      </c>
      <c r="G1899" s="288" t="s">
        <v>3569</v>
      </c>
    </row>
    <row r="1900" spans="1:7" x14ac:dyDescent="0.2">
      <c r="A1900" s="944">
        <v>39095007205</v>
      </c>
      <c r="B1900" s="239" t="s">
        <v>1906</v>
      </c>
      <c r="C1900" s="286" t="s">
        <v>2975</v>
      </c>
      <c r="D1900" s="865" t="s">
        <v>2975</v>
      </c>
      <c r="E1900" s="287" t="s">
        <v>3557</v>
      </c>
      <c r="F1900" s="287" t="s">
        <v>3558</v>
      </c>
      <c r="G1900" s="288" t="s">
        <v>3569</v>
      </c>
    </row>
    <row r="1901" spans="1:7" x14ac:dyDescent="0.2">
      <c r="A1901" s="944">
        <v>39095007301</v>
      </c>
      <c r="B1901" s="239" t="s">
        <v>1907</v>
      </c>
      <c r="C1901" s="286" t="s">
        <v>2975</v>
      </c>
      <c r="D1901" s="865" t="s">
        <v>2975</v>
      </c>
      <c r="E1901" s="287" t="s">
        <v>3564</v>
      </c>
      <c r="F1901" s="287" t="s">
        <v>5176</v>
      </c>
      <c r="G1901" s="288" t="s">
        <v>3569</v>
      </c>
    </row>
    <row r="1902" spans="1:7" x14ac:dyDescent="0.2">
      <c r="A1902" s="944">
        <v>39095007302</v>
      </c>
      <c r="B1902" s="239" t="s">
        <v>1908</v>
      </c>
      <c r="C1902" s="286" t="s">
        <v>2975</v>
      </c>
      <c r="D1902" s="865" t="s">
        <v>2975</v>
      </c>
      <c r="E1902" s="287" t="s">
        <v>3557</v>
      </c>
      <c r="F1902" s="287" t="s">
        <v>5176</v>
      </c>
      <c r="G1902" s="288" t="s">
        <v>3569</v>
      </c>
    </row>
    <row r="1903" spans="1:7" x14ac:dyDescent="0.2">
      <c r="A1903" s="944">
        <v>39095007303</v>
      </c>
      <c r="B1903" s="239" t="s">
        <v>1909</v>
      </c>
      <c r="C1903" s="286" t="s">
        <v>4330</v>
      </c>
      <c r="D1903" s="865" t="s">
        <v>4330</v>
      </c>
      <c r="E1903" s="287" t="s">
        <v>3557</v>
      </c>
      <c r="F1903" s="287" t="s">
        <v>3565</v>
      </c>
      <c r="G1903" s="288" t="s">
        <v>3569</v>
      </c>
    </row>
    <row r="1904" spans="1:7" x14ac:dyDescent="0.2">
      <c r="A1904" s="944">
        <v>39095007400</v>
      </c>
      <c r="B1904" s="239" t="s">
        <v>1910</v>
      </c>
      <c r="C1904" s="286" t="s">
        <v>2975</v>
      </c>
      <c r="D1904" s="865" t="s">
        <v>2975</v>
      </c>
      <c r="E1904" s="287" t="s">
        <v>3557</v>
      </c>
      <c r="F1904" s="287" t="s">
        <v>5176</v>
      </c>
      <c r="G1904" s="288" t="s">
        <v>3569</v>
      </c>
    </row>
    <row r="1905" spans="1:7" x14ac:dyDescent="0.2">
      <c r="A1905" s="944">
        <v>39095007500</v>
      </c>
      <c r="B1905" s="239" t="s">
        <v>1911</v>
      </c>
      <c r="C1905" s="286" t="s">
        <v>2975</v>
      </c>
      <c r="D1905" s="865" t="s">
        <v>2975</v>
      </c>
      <c r="E1905" s="287" t="s">
        <v>3564</v>
      </c>
      <c r="F1905" s="287" t="s">
        <v>3565</v>
      </c>
      <c r="G1905" s="288" t="s">
        <v>3569</v>
      </c>
    </row>
    <row r="1906" spans="1:7" x14ac:dyDescent="0.2">
      <c r="A1906" s="944">
        <v>39095007600</v>
      </c>
      <c r="B1906" s="239" t="s">
        <v>1912</v>
      </c>
      <c r="C1906" s="286" t="s">
        <v>2975</v>
      </c>
      <c r="D1906" s="865" t="s">
        <v>2975</v>
      </c>
      <c r="E1906" s="287" t="s">
        <v>3562</v>
      </c>
      <c r="F1906" s="287" t="s">
        <v>5177</v>
      </c>
      <c r="G1906" s="288" t="s">
        <v>3569</v>
      </c>
    </row>
    <row r="1907" spans="1:7" x14ac:dyDescent="0.2">
      <c r="A1907" s="944">
        <v>39095007700</v>
      </c>
      <c r="B1907" s="239" t="s">
        <v>1913</v>
      </c>
      <c r="C1907" s="286" t="s">
        <v>2975</v>
      </c>
      <c r="D1907" s="865" t="s">
        <v>2975</v>
      </c>
      <c r="E1907" s="287" t="s">
        <v>3563</v>
      </c>
      <c r="F1907" s="287" t="s">
        <v>3559</v>
      </c>
      <c r="G1907" s="288" t="s">
        <v>3569</v>
      </c>
    </row>
    <row r="1908" spans="1:7" x14ac:dyDescent="0.2">
      <c r="A1908" s="944">
        <v>39095007800</v>
      </c>
      <c r="B1908" s="239" t="s">
        <v>1914</v>
      </c>
      <c r="C1908" s="286" t="s">
        <v>2975</v>
      </c>
      <c r="D1908" s="865" t="s">
        <v>2975</v>
      </c>
      <c r="E1908" s="287" t="s">
        <v>3563</v>
      </c>
      <c r="F1908" s="287" t="s">
        <v>3558</v>
      </c>
      <c r="G1908" s="288" t="s">
        <v>3569</v>
      </c>
    </row>
    <row r="1909" spans="1:7" x14ac:dyDescent="0.2">
      <c r="A1909" s="944">
        <v>39095007901</v>
      </c>
      <c r="B1909" s="239" t="s">
        <v>1915</v>
      </c>
      <c r="C1909" s="286" t="s">
        <v>2975</v>
      </c>
      <c r="D1909" s="865" t="s">
        <v>2975</v>
      </c>
      <c r="E1909" s="287" t="s">
        <v>3566</v>
      </c>
      <c r="F1909" s="287" t="s">
        <v>3565</v>
      </c>
      <c r="G1909" s="288" t="s">
        <v>3569</v>
      </c>
    </row>
    <row r="1910" spans="1:7" x14ac:dyDescent="0.2">
      <c r="A1910" s="944">
        <v>39095007902</v>
      </c>
      <c r="B1910" s="239" t="s">
        <v>1916</v>
      </c>
      <c r="C1910" s="286" t="s">
        <v>2975</v>
      </c>
      <c r="D1910" s="865" t="s">
        <v>2975</v>
      </c>
      <c r="E1910" s="287" t="s">
        <v>3564</v>
      </c>
      <c r="F1910" s="287" t="s">
        <v>5177</v>
      </c>
      <c r="G1910" s="288" t="s">
        <v>3569</v>
      </c>
    </row>
    <row r="1911" spans="1:7" x14ac:dyDescent="0.2">
      <c r="A1911" s="944">
        <v>39095008000</v>
      </c>
      <c r="B1911" s="239" t="s">
        <v>1917</v>
      </c>
      <c r="C1911" s="286" t="s">
        <v>2975</v>
      </c>
      <c r="D1911" s="865" t="s">
        <v>2975</v>
      </c>
      <c r="E1911" s="287" t="s">
        <v>3563</v>
      </c>
      <c r="F1911" s="287" t="s">
        <v>5177</v>
      </c>
      <c r="G1911" s="288" t="s">
        <v>3569</v>
      </c>
    </row>
    <row r="1912" spans="1:7" x14ac:dyDescent="0.2">
      <c r="A1912" s="944">
        <v>39095008100</v>
      </c>
      <c r="B1912" s="239" t="s">
        <v>1918</v>
      </c>
      <c r="C1912" s="286" t="s">
        <v>2975</v>
      </c>
      <c r="D1912" s="865" t="s">
        <v>2975</v>
      </c>
      <c r="E1912" s="287" t="s">
        <v>3566</v>
      </c>
      <c r="F1912" s="287" t="s">
        <v>5177</v>
      </c>
      <c r="G1912" s="288" t="s">
        <v>3569</v>
      </c>
    </row>
    <row r="1913" spans="1:7" x14ac:dyDescent="0.2">
      <c r="A1913" s="944">
        <v>39095008201</v>
      </c>
      <c r="B1913" s="239" t="s">
        <v>1919</v>
      </c>
      <c r="C1913" s="286" t="s">
        <v>2975</v>
      </c>
      <c r="D1913" s="865" t="s">
        <v>2975</v>
      </c>
      <c r="E1913" s="287" t="s">
        <v>3563</v>
      </c>
      <c r="F1913" s="287" t="s">
        <v>3565</v>
      </c>
      <c r="G1913" s="288" t="s">
        <v>3569</v>
      </c>
    </row>
    <row r="1914" spans="1:7" x14ac:dyDescent="0.2">
      <c r="A1914" s="944">
        <v>39095008202</v>
      </c>
      <c r="B1914" s="239" t="s">
        <v>1920</v>
      </c>
      <c r="C1914" s="286" t="s">
        <v>2975</v>
      </c>
      <c r="D1914" s="865" t="s">
        <v>2975</v>
      </c>
      <c r="E1914" s="287" t="s">
        <v>3562</v>
      </c>
      <c r="F1914" s="287" t="s">
        <v>5177</v>
      </c>
      <c r="G1914" s="288" t="s">
        <v>3569</v>
      </c>
    </row>
    <row r="1915" spans="1:7" x14ac:dyDescent="0.2">
      <c r="A1915" s="944">
        <v>39095008203</v>
      </c>
      <c r="B1915" s="239" t="s">
        <v>1921</v>
      </c>
      <c r="C1915" s="286" t="s">
        <v>2975</v>
      </c>
      <c r="D1915" s="865" t="s">
        <v>2975</v>
      </c>
      <c r="E1915" s="287" t="s">
        <v>3563</v>
      </c>
      <c r="F1915" s="287" t="s">
        <v>3559</v>
      </c>
      <c r="G1915" s="288" t="s">
        <v>3569</v>
      </c>
    </row>
    <row r="1916" spans="1:7" x14ac:dyDescent="0.2">
      <c r="A1916" s="944">
        <v>39095008301</v>
      </c>
      <c r="B1916" s="239" t="s">
        <v>1922</v>
      </c>
      <c r="C1916" s="286" t="s">
        <v>2975</v>
      </c>
      <c r="D1916" s="865" t="s">
        <v>2975</v>
      </c>
      <c r="E1916" s="287" t="s">
        <v>3562</v>
      </c>
      <c r="F1916" s="287" t="s">
        <v>3559</v>
      </c>
      <c r="G1916" s="288" t="s">
        <v>3569</v>
      </c>
    </row>
    <row r="1917" spans="1:7" x14ac:dyDescent="0.2">
      <c r="A1917" s="944">
        <v>39095008302</v>
      </c>
      <c r="B1917" s="239" t="s">
        <v>1923</v>
      </c>
      <c r="C1917" s="286" t="s">
        <v>2975</v>
      </c>
      <c r="D1917" s="865" t="s">
        <v>2975</v>
      </c>
      <c r="E1917" s="287" t="s">
        <v>3562</v>
      </c>
      <c r="F1917" s="287" t="s">
        <v>3565</v>
      </c>
      <c r="G1917" s="288" t="s">
        <v>3569</v>
      </c>
    </row>
    <row r="1918" spans="1:7" x14ac:dyDescent="0.2">
      <c r="A1918" s="944">
        <v>39095008400</v>
      </c>
      <c r="B1918" s="239" t="s">
        <v>1924</v>
      </c>
      <c r="C1918" s="286" t="s">
        <v>2975</v>
      </c>
      <c r="D1918" s="865" t="s">
        <v>2975</v>
      </c>
      <c r="E1918" s="287" t="s">
        <v>3563</v>
      </c>
      <c r="F1918" s="287" t="s">
        <v>3559</v>
      </c>
      <c r="G1918" s="288" t="s">
        <v>3569</v>
      </c>
    </row>
    <row r="1919" spans="1:7" x14ac:dyDescent="0.2">
      <c r="A1919" s="944">
        <v>39095008500</v>
      </c>
      <c r="B1919" s="239" t="s">
        <v>1925</v>
      </c>
      <c r="C1919" s="286" t="s">
        <v>2975</v>
      </c>
      <c r="D1919" s="865" t="s">
        <v>2975</v>
      </c>
      <c r="E1919" s="287" t="s">
        <v>3564</v>
      </c>
      <c r="F1919" s="287" t="s">
        <v>3565</v>
      </c>
      <c r="G1919" s="288" t="s">
        <v>3569</v>
      </c>
    </row>
    <row r="1920" spans="1:7" x14ac:dyDescent="0.2">
      <c r="A1920" s="944">
        <v>39095008600</v>
      </c>
      <c r="B1920" s="239" t="s">
        <v>1926</v>
      </c>
      <c r="C1920" s="286" t="s">
        <v>2975</v>
      </c>
      <c r="D1920" s="865" t="s">
        <v>2975</v>
      </c>
      <c r="E1920" s="287" t="s">
        <v>3557</v>
      </c>
      <c r="F1920" s="287" t="s">
        <v>3558</v>
      </c>
      <c r="G1920" s="288" t="s">
        <v>3569</v>
      </c>
    </row>
    <row r="1921" spans="1:7" x14ac:dyDescent="0.2">
      <c r="A1921" s="944">
        <v>39095008700</v>
      </c>
      <c r="B1921" s="239" t="s">
        <v>1927</v>
      </c>
      <c r="C1921" s="286" t="s">
        <v>2975</v>
      </c>
      <c r="D1921" s="865" t="s">
        <v>2975</v>
      </c>
      <c r="E1921" s="287" t="s">
        <v>3564</v>
      </c>
      <c r="F1921" s="287" t="s">
        <v>3565</v>
      </c>
      <c r="G1921" s="288" t="s">
        <v>3569</v>
      </c>
    </row>
    <row r="1922" spans="1:7" x14ac:dyDescent="0.2">
      <c r="A1922" s="944">
        <v>39095008800</v>
      </c>
      <c r="B1922" s="239" t="s">
        <v>1928</v>
      </c>
      <c r="C1922" s="286" t="s">
        <v>2975</v>
      </c>
      <c r="D1922" s="865" t="s">
        <v>2975</v>
      </c>
      <c r="E1922" s="287" t="s">
        <v>3563</v>
      </c>
      <c r="F1922" s="287" t="s">
        <v>5177</v>
      </c>
      <c r="G1922" s="288" t="s">
        <v>3569</v>
      </c>
    </row>
    <row r="1923" spans="1:7" x14ac:dyDescent="0.2">
      <c r="A1923" s="944">
        <v>39095008901</v>
      </c>
      <c r="B1923" s="239" t="s">
        <v>1929</v>
      </c>
      <c r="C1923" s="286" t="s">
        <v>2975</v>
      </c>
      <c r="D1923" s="865" t="s">
        <v>2975</v>
      </c>
      <c r="E1923" s="287" t="s">
        <v>3563</v>
      </c>
      <c r="F1923" s="287" t="s">
        <v>3559</v>
      </c>
      <c r="G1923" s="288" t="s">
        <v>3569</v>
      </c>
    </row>
    <row r="1924" spans="1:7" x14ac:dyDescent="0.2">
      <c r="A1924" s="944">
        <v>39095008902</v>
      </c>
      <c r="B1924" s="239" t="s">
        <v>1930</v>
      </c>
      <c r="C1924" s="286" t="s">
        <v>2975</v>
      </c>
      <c r="D1924" s="865" t="s">
        <v>2975</v>
      </c>
      <c r="E1924" s="287" t="s">
        <v>3563</v>
      </c>
      <c r="F1924" s="287" t="s">
        <v>5177</v>
      </c>
      <c r="G1924" s="288" t="s">
        <v>3569</v>
      </c>
    </row>
    <row r="1925" spans="1:7" x14ac:dyDescent="0.2">
      <c r="A1925" s="944">
        <v>39095009000</v>
      </c>
      <c r="B1925" s="239" t="s">
        <v>1931</v>
      </c>
      <c r="C1925" s="286" t="s">
        <v>2975</v>
      </c>
      <c r="D1925" s="865" t="s">
        <v>2975</v>
      </c>
      <c r="E1925" s="287" t="s">
        <v>3562</v>
      </c>
      <c r="F1925" s="287" t="s">
        <v>3559</v>
      </c>
      <c r="G1925" s="288" t="s">
        <v>3568</v>
      </c>
    </row>
    <row r="1926" spans="1:7" x14ac:dyDescent="0.2">
      <c r="A1926" s="944">
        <v>39095009101</v>
      </c>
      <c r="B1926" s="239" t="s">
        <v>1932</v>
      </c>
      <c r="C1926" s="286" t="s">
        <v>2975</v>
      </c>
      <c r="D1926" s="865" t="s">
        <v>2975</v>
      </c>
      <c r="E1926" s="287" t="s">
        <v>3562</v>
      </c>
      <c r="F1926" s="287" t="s">
        <v>5177</v>
      </c>
      <c r="G1926" s="288" t="s">
        <v>3569</v>
      </c>
    </row>
    <row r="1927" spans="1:7" x14ac:dyDescent="0.2">
      <c r="A1927" s="944">
        <v>39095009102</v>
      </c>
      <c r="B1927" s="239" t="s">
        <v>1933</v>
      </c>
      <c r="C1927" s="286" t="s">
        <v>2975</v>
      </c>
      <c r="D1927" s="865" t="s">
        <v>2975</v>
      </c>
      <c r="E1927" s="287" t="s">
        <v>3566</v>
      </c>
      <c r="F1927" s="287" t="s">
        <v>5177</v>
      </c>
      <c r="G1927" s="288" t="s">
        <v>3569</v>
      </c>
    </row>
    <row r="1928" spans="1:7" x14ac:dyDescent="0.2">
      <c r="A1928" s="944">
        <v>39095009201</v>
      </c>
      <c r="B1928" s="239" t="s">
        <v>1934</v>
      </c>
      <c r="C1928" s="286" t="s">
        <v>2975</v>
      </c>
      <c r="D1928" s="865" t="s">
        <v>2975</v>
      </c>
      <c r="E1928" s="287" t="s">
        <v>3562</v>
      </c>
      <c r="F1928" s="287" t="s">
        <v>3565</v>
      </c>
      <c r="G1928" s="288" t="s">
        <v>3568</v>
      </c>
    </row>
    <row r="1929" spans="1:7" x14ac:dyDescent="0.2">
      <c r="A1929" s="944">
        <v>39095009202</v>
      </c>
      <c r="B1929" s="239" t="s">
        <v>1935</v>
      </c>
      <c r="C1929" s="286" t="s">
        <v>2975</v>
      </c>
      <c r="D1929" s="865" t="s">
        <v>2975</v>
      </c>
      <c r="E1929" s="287" t="s">
        <v>3562</v>
      </c>
      <c r="F1929" s="287" t="s">
        <v>3559</v>
      </c>
      <c r="G1929" s="288" t="s">
        <v>3569</v>
      </c>
    </row>
    <row r="1930" spans="1:7" x14ac:dyDescent="0.2">
      <c r="A1930" s="944">
        <v>39095009300</v>
      </c>
      <c r="B1930" s="239" t="s">
        <v>1936</v>
      </c>
      <c r="C1930" s="286" t="s">
        <v>2975</v>
      </c>
      <c r="D1930" s="865" t="s">
        <v>2975</v>
      </c>
      <c r="E1930" s="287" t="s">
        <v>3562</v>
      </c>
      <c r="F1930" s="287" t="s">
        <v>3559</v>
      </c>
      <c r="G1930" s="288" t="s">
        <v>3568</v>
      </c>
    </row>
    <row r="1931" spans="1:7" x14ac:dyDescent="0.2">
      <c r="A1931" s="944">
        <v>39095009400</v>
      </c>
      <c r="B1931" s="239" t="s">
        <v>1937</v>
      </c>
      <c r="C1931" s="286" t="s">
        <v>2975</v>
      </c>
      <c r="D1931" s="865" t="s">
        <v>2975</v>
      </c>
      <c r="E1931" s="287" t="s">
        <v>3563</v>
      </c>
      <c r="F1931" s="287" t="s">
        <v>3559</v>
      </c>
      <c r="G1931" s="288" t="s">
        <v>3568</v>
      </c>
    </row>
    <row r="1932" spans="1:7" x14ac:dyDescent="0.2">
      <c r="A1932" s="944">
        <v>39095009500</v>
      </c>
      <c r="B1932" s="239" t="s">
        <v>1938</v>
      </c>
      <c r="C1932" s="286" t="s">
        <v>2975</v>
      </c>
      <c r="D1932" s="865" t="s">
        <v>2975</v>
      </c>
      <c r="E1932" s="287" t="s">
        <v>3566</v>
      </c>
      <c r="F1932" s="287" t="s">
        <v>3559</v>
      </c>
      <c r="G1932" s="288" t="s">
        <v>3568</v>
      </c>
    </row>
    <row r="1933" spans="1:7" x14ac:dyDescent="0.2">
      <c r="A1933" s="944">
        <v>39095009600</v>
      </c>
      <c r="B1933" s="239" t="s">
        <v>1939</v>
      </c>
      <c r="C1933" s="286" t="s">
        <v>2975</v>
      </c>
      <c r="D1933" s="865" t="s">
        <v>2975</v>
      </c>
      <c r="E1933" s="287" t="s">
        <v>3563</v>
      </c>
      <c r="F1933" s="287" t="s">
        <v>3565</v>
      </c>
      <c r="G1933" s="288" t="s">
        <v>3568</v>
      </c>
    </row>
    <row r="1934" spans="1:7" x14ac:dyDescent="0.2">
      <c r="A1934" s="944">
        <v>39095009700</v>
      </c>
      <c r="B1934" s="239" t="s">
        <v>1940</v>
      </c>
      <c r="C1934" s="286" t="s">
        <v>2975</v>
      </c>
      <c r="D1934" s="865" t="s">
        <v>2975</v>
      </c>
      <c r="E1934" s="287" t="s">
        <v>3566</v>
      </c>
      <c r="F1934" s="287" t="s">
        <v>3558</v>
      </c>
      <c r="G1934" s="288" t="s">
        <v>3568</v>
      </c>
    </row>
    <row r="1935" spans="1:7" x14ac:dyDescent="0.2">
      <c r="A1935" s="944">
        <v>39095009800</v>
      </c>
      <c r="B1935" s="239" t="s">
        <v>1941</v>
      </c>
      <c r="C1935" s="286" t="s">
        <v>2975</v>
      </c>
      <c r="D1935" s="865" t="s">
        <v>2975</v>
      </c>
      <c r="E1935" s="287" t="s">
        <v>3566</v>
      </c>
      <c r="F1935" s="287" t="s">
        <v>3559</v>
      </c>
      <c r="G1935" s="288" t="s">
        <v>3569</v>
      </c>
    </row>
    <row r="1936" spans="1:7" x14ac:dyDescent="0.2">
      <c r="A1936" s="944">
        <v>39095009900</v>
      </c>
      <c r="B1936" s="239" t="s">
        <v>1942</v>
      </c>
      <c r="C1936" s="286" t="s">
        <v>2975</v>
      </c>
      <c r="D1936" s="865" t="s">
        <v>2975</v>
      </c>
      <c r="E1936" s="287" t="s">
        <v>3566</v>
      </c>
      <c r="F1936" s="287" t="s">
        <v>5176</v>
      </c>
      <c r="G1936" s="288" t="s">
        <v>3569</v>
      </c>
    </row>
    <row r="1937" spans="1:7" x14ac:dyDescent="0.2">
      <c r="A1937" s="944">
        <v>39095010001</v>
      </c>
      <c r="B1937" s="239" t="s">
        <v>1943</v>
      </c>
      <c r="C1937" s="286" t="s">
        <v>2975</v>
      </c>
      <c r="D1937" s="865" t="s">
        <v>2975</v>
      </c>
      <c r="E1937" s="287" t="s">
        <v>3563</v>
      </c>
      <c r="F1937" s="287" t="s">
        <v>5177</v>
      </c>
      <c r="G1937" s="288" t="s">
        <v>3569</v>
      </c>
    </row>
    <row r="1938" spans="1:7" x14ac:dyDescent="0.2">
      <c r="A1938" s="944">
        <v>39095010002</v>
      </c>
      <c r="B1938" s="239" t="s">
        <v>1944</v>
      </c>
      <c r="C1938" s="286" t="s">
        <v>2975</v>
      </c>
      <c r="D1938" s="865" t="s">
        <v>2975</v>
      </c>
      <c r="E1938" s="287" t="s">
        <v>3566</v>
      </c>
      <c r="F1938" s="287" t="s">
        <v>3559</v>
      </c>
      <c r="G1938" s="288" t="s">
        <v>3569</v>
      </c>
    </row>
    <row r="1939" spans="1:7" x14ac:dyDescent="0.2">
      <c r="A1939" s="944">
        <v>39095010100</v>
      </c>
      <c r="B1939" s="239" t="s">
        <v>1945</v>
      </c>
      <c r="C1939" s="286" t="s">
        <v>2975</v>
      </c>
      <c r="D1939" s="865" t="s">
        <v>2975</v>
      </c>
      <c r="E1939" s="287" t="s">
        <v>3566</v>
      </c>
      <c r="F1939" s="287" t="s">
        <v>5176</v>
      </c>
      <c r="G1939" s="288" t="s">
        <v>3569</v>
      </c>
    </row>
    <row r="1940" spans="1:7" x14ac:dyDescent="0.2">
      <c r="A1940" s="944">
        <v>39095010200</v>
      </c>
      <c r="B1940" s="239" t="s">
        <v>1946</v>
      </c>
      <c r="C1940" s="286" t="s">
        <v>2975</v>
      </c>
      <c r="D1940" s="865" t="s">
        <v>2975</v>
      </c>
      <c r="E1940" s="287" t="s">
        <v>3566</v>
      </c>
      <c r="F1940" s="287" t="s">
        <v>3559</v>
      </c>
      <c r="G1940" s="288" t="s">
        <v>3553</v>
      </c>
    </row>
    <row r="1941" spans="1:7" x14ac:dyDescent="0.2">
      <c r="A1941" s="944">
        <v>39095010300</v>
      </c>
      <c r="B1941" s="239" t="s">
        <v>1947</v>
      </c>
      <c r="C1941" s="286" t="s">
        <v>4330</v>
      </c>
      <c r="D1941" s="865" t="s">
        <v>4330</v>
      </c>
      <c r="E1941" s="287" t="s">
        <v>3564</v>
      </c>
      <c r="F1941" s="287" t="s">
        <v>3565</v>
      </c>
      <c r="G1941" s="288" t="s">
        <v>3553</v>
      </c>
    </row>
    <row r="1942" spans="1:7" x14ac:dyDescent="0.2">
      <c r="A1942" s="944">
        <v>39095010400</v>
      </c>
      <c r="B1942" s="239" t="s">
        <v>1948</v>
      </c>
      <c r="C1942" s="286" t="s">
        <v>2975</v>
      </c>
      <c r="D1942" s="865" t="s">
        <v>2975</v>
      </c>
      <c r="E1942" s="287" t="s">
        <v>3566</v>
      </c>
      <c r="F1942" s="287" t="s">
        <v>3558</v>
      </c>
      <c r="G1942" s="288" t="s">
        <v>3569</v>
      </c>
    </row>
    <row r="1943" spans="1:7" x14ac:dyDescent="0.2">
      <c r="A1943" s="944">
        <v>39097040101</v>
      </c>
      <c r="B1943" s="239" t="s">
        <v>1949</v>
      </c>
      <c r="C1943" s="286" t="s">
        <v>2975</v>
      </c>
      <c r="D1943" s="865" t="s">
        <v>2975</v>
      </c>
      <c r="E1943" s="287" t="s">
        <v>3562</v>
      </c>
      <c r="F1943" s="287" t="s">
        <v>3565</v>
      </c>
      <c r="G1943" s="288" t="s">
        <v>3568</v>
      </c>
    </row>
    <row r="1944" spans="1:7" x14ac:dyDescent="0.2">
      <c r="A1944" s="944">
        <v>39097040102</v>
      </c>
      <c r="B1944" s="239" t="s">
        <v>1950</v>
      </c>
      <c r="C1944" s="286" t="s">
        <v>2975</v>
      </c>
      <c r="D1944" s="865" t="s">
        <v>2975</v>
      </c>
      <c r="E1944" s="287" t="s">
        <v>3562</v>
      </c>
      <c r="F1944" s="287" t="s">
        <v>5177</v>
      </c>
      <c r="G1944" s="288" t="s">
        <v>3568</v>
      </c>
    </row>
    <row r="1945" spans="1:7" x14ac:dyDescent="0.2">
      <c r="A1945" s="944">
        <v>39097040201</v>
      </c>
      <c r="B1945" s="239" t="s">
        <v>1951</v>
      </c>
      <c r="C1945" s="286" t="s">
        <v>2975</v>
      </c>
      <c r="D1945" s="865" t="s">
        <v>2975</v>
      </c>
      <c r="E1945" s="287" t="s">
        <v>3566</v>
      </c>
      <c r="F1945" s="287" t="s">
        <v>3558</v>
      </c>
      <c r="G1945" s="288" t="s">
        <v>3568</v>
      </c>
    </row>
    <row r="1946" spans="1:7" x14ac:dyDescent="0.2">
      <c r="A1946" s="944">
        <v>39097040202</v>
      </c>
      <c r="B1946" s="239" t="s">
        <v>1952</v>
      </c>
      <c r="C1946" s="286" t="s">
        <v>2975</v>
      </c>
      <c r="D1946" s="865" t="s">
        <v>2975</v>
      </c>
      <c r="E1946" s="287" t="s">
        <v>3566</v>
      </c>
      <c r="F1946" s="287" t="s">
        <v>5176</v>
      </c>
      <c r="G1946" s="288" t="s">
        <v>3568</v>
      </c>
    </row>
    <row r="1947" spans="1:7" x14ac:dyDescent="0.2">
      <c r="A1947" s="944">
        <v>39097040400</v>
      </c>
      <c r="B1947" s="239" t="s">
        <v>1953</v>
      </c>
      <c r="C1947" s="286" t="s">
        <v>2975</v>
      </c>
      <c r="D1947" s="865" t="s">
        <v>2975</v>
      </c>
      <c r="E1947" s="287" t="s">
        <v>3562</v>
      </c>
      <c r="F1947" s="287" t="s">
        <v>3559</v>
      </c>
      <c r="G1947" s="288" t="s">
        <v>3568</v>
      </c>
    </row>
    <row r="1948" spans="1:7" x14ac:dyDescent="0.2">
      <c r="A1948" s="944">
        <v>39097040500</v>
      </c>
      <c r="B1948" s="239" t="s">
        <v>1954</v>
      </c>
      <c r="C1948" s="286" t="s">
        <v>2975</v>
      </c>
      <c r="D1948" s="865" t="s">
        <v>2975</v>
      </c>
      <c r="E1948" s="287" t="s">
        <v>3566</v>
      </c>
      <c r="F1948" s="287" t="s">
        <v>3559</v>
      </c>
      <c r="G1948" s="288" t="s">
        <v>3568</v>
      </c>
    </row>
    <row r="1949" spans="1:7" x14ac:dyDescent="0.2">
      <c r="A1949" s="944">
        <v>39097040600</v>
      </c>
      <c r="B1949" s="239" t="s">
        <v>1955</v>
      </c>
      <c r="C1949" s="286" t="s">
        <v>2975</v>
      </c>
      <c r="D1949" s="865" t="s">
        <v>2975</v>
      </c>
      <c r="E1949" s="287" t="s">
        <v>3563</v>
      </c>
      <c r="F1949" s="287" t="s">
        <v>5177</v>
      </c>
      <c r="G1949" s="288" t="s">
        <v>3568</v>
      </c>
    </row>
    <row r="1950" spans="1:7" x14ac:dyDescent="0.2">
      <c r="A1950" s="944">
        <v>39097040700</v>
      </c>
      <c r="B1950" s="239" t="s">
        <v>1956</v>
      </c>
      <c r="C1950" s="286" t="s">
        <v>2975</v>
      </c>
      <c r="D1950" s="865" t="s">
        <v>2975</v>
      </c>
      <c r="E1950" s="287" t="s">
        <v>3563</v>
      </c>
      <c r="F1950" s="287" t="s">
        <v>5177</v>
      </c>
      <c r="G1950" s="288" t="s">
        <v>5175</v>
      </c>
    </row>
    <row r="1951" spans="1:7" x14ac:dyDescent="0.2">
      <c r="A1951" s="944">
        <v>39097041000</v>
      </c>
      <c r="B1951" s="239" t="s">
        <v>1957</v>
      </c>
      <c r="C1951" s="286" t="s">
        <v>2975</v>
      </c>
      <c r="D1951" s="865" t="s">
        <v>2975</v>
      </c>
      <c r="E1951" s="287" t="s">
        <v>3563</v>
      </c>
      <c r="F1951" s="287" t="s">
        <v>3565</v>
      </c>
      <c r="G1951" s="288" t="s">
        <v>3568</v>
      </c>
    </row>
    <row r="1952" spans="1:7" x14ac:dyDescent="0.2">
      <c r="A1952" s="944">
        <v>39097041100</v>
      </c>
      <c r="B1952" s="239" t="s">
        <v>1958</v>
      </c>
      <c r="C1952" s="286" t="s">
        <v>2975</v>
      </c>
      <c r="D1952" s="865" t="s">
        <v>2975</v>
      </c>
      <c r="E1952" s="287" t="s">
        <v>3566</v>
      </c>
      <c r="F1952" s="287" t="s">
        <v>3565</v>
      </c>
      <c r="G1952" s="288" t="s">
        <v>3568</v>
      </c>
    </row>
    <row r="1953" spans="1:7" x14ac:dyDescent="0.2">
      <c r="A1953" s="944">
        <v>39097041200</v>
      </c>
      <c r="B1953" s="239" t="s">
        <v>1959</v>
      </c>
      <c r="C1953" s="286" t="s">
        <v>2975</v>
      </c>
      <c r="D1953" s="865" t="s">
        <v>2975</v>
      </c>
      <c r="E1953" s="287" t="s">
        <v>3564</v>
      </c>
      <c r="F1953" s="287" t="s">
        <v>3559</v>
      </c>
      <c r="G1953" s="288" t="s">
        <v>3568</v>
      </c>
    </row>
    <row r="1954" spans="1:7" x14ac:dyDescent="0.2">
      <c r="A1954" s="944">
        <v>39097041300</v>
      </c>
      <c r="B1954" s="239" t="s">
        <v>1960</v>
      </c>
      <c r="C1954" s="286" t="s">
        <v>2975</v>
      </c>
      <c r="D1954" s="865" t="s">
        <v>2975</v>
      </c>
      <c r="E1954" s="287" t="s">
        <v>3566</v>
      </c>
      <c r="F1954" s="287" t="s">
        <v>3565</v>
      </c>
      <c r="G1954" s="288" t="s">
        <v>3568</v>
      </c>
    </row>
    <row r="1955" spans="1:7" x14ac:dyDescent="0.2">
      <c r="A1955" s="944">
        <v>39099800300</v>
      </c>
      <c r="B1955" s="239" t="s">
        <v>1961</v>
      </c>
      <c r="C1955" s="286" t="s">
        <v>4330</v>
      </c>
      <c r="D1955" s="865" t="s">
        <v>4330</v>
      </c>
      <c r="E1955" s="287" t="s">
        <v>3557</v>
      </c>
      <c r="F1955" s="287" t="s">
        <v>5177</v>
      </c>
      <c r="G1955" s="288" t="s">
        <v>3569</v>
      </c>
    </row>
    <row r="1956" spans="1:7" x14ac:dyDescent="0.2">
      <c r="A1956" s="944">
        <v>39099800400</v>
      </c>
      <c r="B1956" s="239" t="s">
        <v>1962</v>
      </c>
      <c r="C1956" s="286" t="s">
        <v>2975</v>
      </c>
      <c r="D1956" s="865" t="s">
        <v>2975</v>
      </c>
      <c r="E1956" s="287" t="s">
        <v>3557</v>
      </c>
      <c r="F1956" s="287" t="s">
        <v>5176</v>
      </c>
      <c r="G1956" s="288" t="s">
        <v>3569</v>
      </c>
    </row>
    <row r="1957" spans="1:7" x14ac:dyDescent="0.2">
      <c r="A1957" s="944">
        <v>39099800500</v>
      </c>
      <c r="B1957" s="239" t="s">
        <v>1963</v>
      </c>
      <c r="C1957" s="286" t="s">
        <v>4330</v>
      </c>
      <c r="D1957" s="865" t="s">
        <v>4330</v>
      </c>
      <c r="E1957" s="287" t="s">
        <v>3557</v>
      </c>
      <c r="F1957" s="287" t="s">
        <v>5176</v>
      </c>
      <c r="G1957" s="288" t="s">
        <v>3569</v>
      </c>
    </row>
    <row r="1958" spans="1:7" x14ac:dyDescent="0.2">
      <c r="A1958" s="944">
        <v>39099800600</v>
      </c>
      <c r="B1958" s="239" t="s">
        <v>1964</v>
      </c>
      <c r="C1958" s="286" t="s">
        <v>4330</v>
      </c>
      <c r="D1958" s="865" t="s">
        <v>4330</v>
      </c>
      <c r="E1958" s="287" t="s">
        <v>3557</v>
      </c>
      <c r="F1958" s="287" t="s">
        <v>3558</v>
      </c>
      <c r="G1958" s="288" t="s">
        <v>3553</v>
      </c>
    </row>
    <row r="1959" spans="1:7" x14ac:dyDescent="0.2">
      <c r="A1959" s="944">
        <v>39099801000</v>
      </c>
      <c r="B1959" s="239" t="s">
        <v>1965</v>
      </c>
      <c r="C1959" s="286" t="s">
        <v>4330</v>
      </c>
      <c r="D1959" s="865" t="s">
        <v>4330</v>
      </c>
      <c r="E1959" s="287" t="s">
        <v>3566</v>
      </c>
      <c r="F1959" s="287" t="s">
        <v>3559</v>
      </c>
      <c r="G1959" s="288" t="s">
        <v>3553</v>
      </c>
    </row>
    <row r="1960" spans="1:7" x14ac:dyDescent="0.2">
      <c r="A1960" s="944">
        <v>39099801100</v>
      </c>
      <c r="B1960" s="239" t="s">
        <v>1966</v>
      </c>
      <c r="C1960" s="286" t="s">
        <v>4330</v>
      </c>
      <c r="D1960" s="865" t="s">
        <v>4330</v>
      </c>
      <c r="E1960" s="287" t="s">
        <v>3564</v>
      </c>
      <c r="F1960" s="287" t="s">
        <v>3558</v>
      </c>
      <c r="G1960" s="288" t="s">
        <v>3553</v>
      </c>
    </row>
    <row r="1961" spans="1:7" x14ac:dyDescent="0.2">
      <c r="A1961" s="944">
        <v>39099801200</v>
      </c>
      <c r="B1961" s="239" t="s">
        <v>1967</v>
      </c>
      <c r="C1961" s="286" t="s">
        <v>2975</v>
      </c>
      <c r="D1961" s="865" t="s">
        <v>2975</v>
      </c>
      <c r="E1961" s="287" t="s">
        <v>3564</v>
      </c>
      <c r="F1961" s="287" t="s">
        <v>3558</v>
      </c>
      <c r="G1961" s="288" t="s">
        <v>3553</v>
      </c>
    </row>
    <row r="1962" spans="1:7" x14ac:dyDescent="0.2">
      <c r="A1962" s="944">
        <v>39099801300</v>
      </c>
      <c r="B1962" s="239" t="s">
        <v>1968</v>
      </c>
      <c r="C1962" s="286" t="s">
        <v>4330</v>
      </c>
      <c r="D1962" s="865" t="s">
        <v>4330</v>
      </c>
      <c r="E1962" s="287" t="s">
        <v>3564</v>
      </c>
      <c r="F1962" s="287" t="s">
        <v>3565</v>
      </c>
      <c r="G1962" s="288" t="s">
        <v>3553</v>
      </c>
    </row>
    <row r="1963" spans="1:7" x14ac:dyDescent="0.2">
      <c r="A1963" s="944">
        <v>39099801400</v>
      </c>
      <c r="B1963" s="239" t="s">
        <v>1969</v>
      </c>
      <c r="C1963" s="286" t="s">
        <v>2975</v>
      </c>
      <c r="D1963" s="865" t="s">
        <v>2975</v>
      </c>
      <c r="E1963" s="287" t="s">
        <v>3563</v>
      </c>
      <c r="F1963" s="287" t="s">
        <v>3558</v>
      </c>
      <c r="G1963" s="288" t="s">
        <v>3553</v>
      </c>
    </row>
    <row r="1964" spans="1:7" x14ac:dyDescent="0.2">
      <c r="A1964" s="944">
        <v>39099801500</v>
      </c>
      <c r="B1964" s="239" t="s">
        <v>1970</v>
      </c>
      <c r="C1964" s="286" t="s">
        <v>2975</v>
      </c>
      <c r="D1964" s="865" t="s">
        <v>2975</v>
      </c>
      <c r="E1964" s="287" t="s">
        <v>3563</v>
      </c>
      <c r="F1964" s="287" t="s">
        <v>5177</v>
      </c>
      <c r="G1964" s="288" t="s">
        <v>3553</v>
      </c>
    </row>
    <row r="1965" spans="1:7" x14ac:dyDescent="0.2">
      <c r="A1965" s="944">
        <v>39099801600</v>
      </c>
      <c r="B1965" s="239" t="s">
        <v>1971</v>
      </c>
      <c r="C1965" s="286" t="s">
        <v>4330</v>
      </c>
      <c r="D1965" s="865" t="s">
        <v>4330</v>
      </c>
      <c r="E1965" s="287" t="s">
        <v>3557</v>
      </c>
      <c r="F1965" s="287" t="s">
        <v>5176</v>
      </c>
      <c r="G1965" s="288" t="s">
        <v>3553</v>
      </c>
    </row>
    <row r="1966" spans="1:7" x14ac:dyDescent="0.2">
      <c r="A1966" s="944">
        <v>39099801700</v>
      </c>
      <c r="B1966" s="239" t="s">
        <v>1972</v>
      </c>
      <c r="C1966" s="286" t="s">
        <v>4330</v>
      </c>
      <c r="D1966" s="865" t="s">
        <v>4330</v>
      </c>
      <c r="E1966" s="287" t="s">
        <v>3566</v>
      </c>
      <c r="F1966" s="287" t="s">
        <v>5177</v>
      </c>
      <c r="G1966" s="288" t="s">
        <v>3553</v>
      </c>
    </row>
    <row r="1967" spans="1:7" x14ac:dyDescent="0.2">
      <c r="A1967" s="944">
        <v>39099802100</v>
      </c>
      <c r="B1967" s="239" t="s">
        <v>1973</v>
      </c>
      <c r="C1967" s="286" t="s">
        <v>4330</v>
      </c>
      <c r="D1967" s="865" t="s">
        <v>4330</v>
      </c>
      <c r="E1967" s="287" t="s">
        <v>3557</v>
      </c>
      <c r="F1967" s="287" t="s">
        <v>3565</v>
      </c>
      <c r="G1967" s="288" t="s">
        <v>3553</v>
      </c>
    </row>
    <row r="1968" spans="1:7" x14ac:dyDescent="0.2">
      <c r="A1968" s="944">
        <v>39099802300</v>
      </c>
      <c r="B1968" s="239" t="s">
        <v>1974</v>
      </c>
      <c r="C1968" s="286" t="s">
        <v>4330</v>
      </c>
      <c r="D1968" s="865" t="s">
        <v>4330</v>
      </c>
      <c r="E1968" s="287" t="s">
        <v>3564</v>
      </c>
      <c r="F1968" s="287" t="s">
        <v>3558</v>
      </c>
      <c r="G1968" s="288" t="s">
        <v>3553</v>
      </c>
    </row>
    <row r="1969" spans="1:7" x14ac:dyDescent="0.2">
      <c r="A1969" s="944">
        <v>39099802400</v>
      </c>
      <c r="B1969" s="239" t="s">
        <v>1975</v>
      </c>
      <c r="C1969" s="286" t="s">
        <v>4330</v>
      </c>
      <c r="D1969" s="865" t="s">
        <v>4330</v>
      </c>
      <c r="E1969" s="287" t="s">
        <v>3557</v>
      </c>
      <c r="F1969" s="287" t="s">
        <v>3565</v>
      </c>
      <c r="G1969" s="288" t="s">
        <v>3553</v>
      </c>
    </row>
    <row r="1970" spans="1:7" x14ac:dyDescent="0.2">
      <c r="A1970" s="944">
        <v>39099802500</v>
      </c>
      <c r="B1970" s="239" t="s">
        <v>1976</v>
      </c>
      <c r="C1970" s="286" t="s">
        <v>4330</v>
      </c>
      <c r="D1970" s="865" t="s">
        <v>4330</v>
      </c>
      <c r="E1970" s="287" t="s">
        <v>3564</v>
      </c>
      <c r="F1970" s="287" t="s">
        <v>5176</v>
      </c>
      <c r="G1970" s="288" t="s">
        <v>3553</v>
      </c>
    </row>
    <row r="1971" spans="1:7" x14ac:dyDescent="0.2">
      <c r="A1971" s="944">
        <v>39099802600</v>
      </c>
      <c r="B1971" s="239" t="s">
        <v>1977</v>
      </c>
      <c r="C1971" s="286" t="s">
        <v>4330</v>
      </c>
      <c r="D1971" s="865" t="s">
        <v>2975</v>
      </c>
      <c r="E1971" s="287" t="s">
        <v>3563</v>
      </c>
      <c r="F1971" s="287" t="s">
        <v>3565</v>
      </c>
      <c r="G1971" s="288" t="s">
        <v>3553</v>
      </c>
    </row>
    <row r="1972" spans="1:7" x14ac:dyDescent="0.2">
      <c r="A1972" s="944">
        <v>39099802701</v>
      </c>
      <c r="B1972" s="239" t="s">
        <v>1978</v>
      </c>
      <c r="C1972" s="286" t="s">
        <v>2975</v>
      </c>
      <c r="D1972" s="865" t="s">
        <v>2975</v>
      </c>
      <c r="E1972" s="287" t="s">
        <v>3557</v>
      </c>
      <c r="F1972" s="287" t="s">
        <v>5176</v>
      </c>
      <c r="G1972" s="288" t="s">
        <v>3569</v>
      </c>
    </row>
    <row r="1973" spans="1:7" x14ac:dyDescent="0.2">
      <c r="A1973" s="944">
        <v>39099802702</v>
      </c>
      <c r="B1973" s="239" t="s">
        <v>1979</v>
      </c>
      <c r="C1973" s="286" t="s">
        <v>2975</v>
      </c>
      <c r="D1973" s="865" t="s">
        <v>2975</v>
      </c>
      <c r="E1973" s="287" t="s">
        <v>3564</v>
      </c>
      <c r="F1973" s="287" t="s">
        <v>5176</v>
      </c>
      <c r="G1973" s="288" t="s">
        <v>3569</v>
      </c>
    </row>
    <row r="1974" spans="1:7" x14ac:dyDescent="0.2">
      <c r="A1974" s="944">
        <v>39099802800</v>
      </c>
      <c r="B1974" s="239" t="s">
        <v>1980</v>
      </c>
      <c r="C1974" s="286" t="s">
        <v>4330</v>
      </c>
      <c r="D1974" s="865" t="s">
        <v>4330</v>
      </c>
      <c r="E1974" s="287" t="s">
        <v>3563</v>
      </c>
      <c r="F1974" s="287" t="s">
        <v>3558</v>
      </c>
      <c r="G1974" s="288" t="s">
        <v>3553</v>
      </c>
    </row>
    <row r="1975" spans="1:7" x14ac:dyDescent="0.2">
      <c r="A1975" s="944">
        <v>39099802900</v>
      </c>
      <c r="B1975" s="239" t="s">
        <v>1981</v>
      </c>
      <c r="C1975" s="286" t="s">
        <v>4330</v>
      </c>
      <c r="D1975" s="865" t="s">
        <v>4330</v>
      </c>
      <c r="E1975" s="287" t="s">
        <v>3566</v>
      </c>
      <c r="F1975" s="287" t="s">
        <v>5176</v>
      </c>
      <c r="G1975" s="288" t="s">
        <v>3553</v>
      </c>
    </row>
    <row r="1976" spans="1:7" x14ac:dyDescent="0.2">
      <c r="A1976" s="944">
        <v>39099803000</v>
      </c>
      <c r="B1976" s="239" t="s">
        <v>1982</v>
      </c>
      <c r="C1976" s="286" t="s">
        <v>4330</v>
      </c>
      <c r="D1976" s="865" t="s">
        <v>4330</v>
      </c>
      <c r="E1976" s="287" t="s">
        <v>3566</v>
      </c>
      <c r="F1976" s="287" t="s">
        <v>3560</v>
      </c>
      <c r="G1976" s="288" t="s">
        <v>3553</v>
      </c>
    </row>
    <row r="1977" spans="1:7" x14ac:dyDescent="0.2">
      <c r="A1977" s="944">
        <v>39099804000</v>
      </c>
      <c r="B1977" s="239" t="s">
        <v>1983</v>
      </c>
      <c r="C1977" s="286" t="s">
        <v>4330</v>
      </c>
      <c r="D1977" s="865" t="s">
        <v>4330</v>
      </c>
      <c r="E1977" s="287" t="s">
        <v>3564</v>
      </c>
      <c r="F1977" s="287" t="s">
        <v>5177</v>
      </c>
      <c r="G1977" s="288" t="s">
        <v>3553</v>
      </c>
    </row>
    <row r="1978" spans="1:7" x14ac:dyDescent="0.2">
      <c r="A1978" s="944">
        <v>39099804100</v>
      </c>
      <c r="B1978" s="239" t="s">
        <v>1984</v>
      </c>
      <c r="C1978" s="286" t="s">
        <v>2975</v>
      </c>
      <c r="D1978" s="865" t="s">
        <v>4330</v>
      </c>
      <c r="E1978" s="287" t="s">
        <v>3562</v>
      </c>
      <c r="F1978" s="287" t="s">
        <v>3559</v>
      </c>
      <c r="G1978" s="288" t="s">
        <v>3553</v>
      </c>
    </row>
    <row r="1979" spans="1:7" x14ac:dyDescent="0.2">
      <c r="A1979" s="944">
        <v>39099804200</v>
      </c>
      <c r="B1979" s="239" t="s">
        <v>1985</v>
      </c>
      <c r="C1979" s="286" t="s">
        <v>2975</v>
      </c>
      <c r="D1979" s="865" t="s">
        <v>2975</v>
      </c>
      <c r="E1979" s="287" t="s">
        <v>3562</v>
      </c>
      <c r="F1979" s="287" t="s">
        <v>3558</v>
      </c>
      <c r="G1979" s="288" t="s">
        <v>3553</v>
      </c>
    </row>
    <row r="1980" spans="1:7" x14ac:dyDescent="0.2">
      <c r="A1980" s="944">
        <v>39099804300</v>
      </c>
      <c r="B1980" s="239" t="s">
        <v>1986</v>
      </c>
      <c r="C1980" s="286" t="s">
        <v>4330</v>
      </c>
      <c r="D1980" s="865" t="s">
        <v>4330</v>
      </c>
      <c r="E1980" s="287" t="s">
        <v>3566</v>
      </c>
      <c r="F1980" s="287" t="s">
        <v>3559</v>
      </c>
      <c r="G1980" s="288" t="s">
        <v>3553</v>
      </c>
    </row>
    <row r="1981" spans="1:7" x14ac:dyDescent="0.2">
      <c r="A1981" s="944">
        <v>39099810100</v>
      </c>
      <c r="B1981" s="239" t="s">
        <v>1987</v>
      </c>
      <c r="C1981" s="286" t="s">
        <v>2975</v>
      </c>
      <c r="D1981" s="865" t="s">
        <v>2975</v>
      </c>
      <c r="E1981" s="287" t="s">
        <v>3564</v>
      </c>
      <c r="F1981" s="287" t="s">
        <v>5176</v>
      </c>
      <c r="G1981" s="288" t="s">
        <v>3569</v>
      </c>
    </row>
    <row r="1982" spans="1:7" x14ac:dyDescent="0.2">
      <c r="A1982" s="944">
        <v>39099810200</v>
      </c>
      <c r="B1982" s="239" t="s">
        <v>1988</v>
      </c>
      <c r="C1982" s="286" t="s">
        <v>4330</v>
      </c>
      <c r="D1982" s="865" t="s">
        <v>4330</v>
      </c>
      <c r="E1982" s="287" t="s">
        <v>3557</v>
      </c>
      <c r="F1982" s="287" t="s">
        <v>5176</v>
      </c>
      <c r="G1982" s="288" t="s">
        <v>3569</v>
      </c>
    </row>
    <row r="1983" spans="1:7" x14ac:dyDescent="0.2">
      <c r="A1983" s="944">
        <v>39099810300</v>
      </c>
      <c r="B1983" s="239" t="s">
        <v>1989</v>
      </c>
      <c r="C1983" s="286" t="s">
        <v>4330</v>
      </c>
      <c r="D1983" s="865" t="s">
        <v>4330</v>
      </c>
      <c r="E1983" s="287" t="s">
        <v>3557</v>
      </c>
      <c r="F1983" s="287" t="s">
        <v>5176</v>
      </c>
      <c r="G1983" s="288" t="s">
        <v>3569</v>
      </c>
    </row>
    <row r="1984" spans="1:7" x14ac:dyDescent="0.2">
      <c r="A1984" s="944">
        <v>39099810600</v>
      </c>
      <c r="B1984" s="239" t="s">
        <v>1990</v>
      </c>
      <c r="C1984" s="286" t="s">
        <v>4330</v>
      </c>
      <c r="D1984" s="865" t="s">
        <v>4330</v>
      </c>
      <c r="E1984" s="287" t="s">
        <v>3557</v>
      </c>
      <c r="F1984" s="287" t="s">
        <v>3565</v>
      </c>
      <c r="G1984" s="288" t="s">
        <v>3569</v>
      </c>
    </row>
    <row r="1985" spans="1:7" x14ac:dyDescent="0.2">
      <c r="A1985" s="944">
        <v>39099810700</v>
      </c>
      <c r="B1985" s="239" t="s">
        <v>1991</v>
      </c>
      <c r="C1985" s="286" t="s">
        <v>2975</v>
      </c>
      <c r="D1985" s="865" t="s">
        <v>2975</v>
      </c>
      <c r="E1985" s="287" t="s">
        <v>3564</v>
      </c>
      <c r="F1985" s="287" t="s">
        <v>3558</v>
      </c>
      <c r="G1985" s="288" t="s">
        <v>3569</v>
      </c>
    </row>
    <row r="1986" spans="1:7" x14ac:dyDescent="0.2">
      <c r="A1986" s="944">
        <v>39099810800</v>
      </c>
      <c r="B1986" s="239" t="s">
        <v>1992</v>
      </c>
      <c r="C1986" s="286" t="s">
        <v>2975</v>
      </c>
      <c r="D1986" s="865" t="s">
        <v>2975</v>
      </c>
      <c r="E1986" s="287" t="s">
        <v>3564</v>
      </c>
      <c r="F1986" s="287" t="s">
        <v>3565</v>
      </c>
      <c r="G1986" s="288" t="s">
        <v>3569</v>
      </c>
    </row>
    <row r="1987" spans="1:7" x14ac:dyDescent="0.2">
      <c r="A1987" s="944">
        <v>39099810900</v>
      </c>
      <c r="B1987" s="239" t="s">
        <v>1993</v>
      </c>
      <c r="C1987" s="286" t="s">
        <v>2975</v>
      </c>
      <c r="D1987" s="865" t="s">
        <v>2975</v>
      </c>
      <c r="E1987" s="287" t="s">
        <v>3564</v>
      </c>
      <c r="F1987" s="287" t="s">
        <v>5176</v>
      </c>
      <c r="G1987" s="288" t="s">
        <v>3568</v>
      </c>
    </row>
    <row r="1988" spans="1:7" x14ac:dyDescent="0.2">
      <c r="A1988" s="944">
        <v>39099811001</v>
      </c>
      <c r="B1988" s="239" t="s">
        <v>1994</v>
      </c>
      <c r="C1988" s="286" t="s">
        <v>2975</v>
      </c>
      <c r="D1988" s="865" t="s">
        <v>2975</v>
      </c>
      <c r="E1988" s="287" t="s">
        <v>3562</v>
      </c>
      <c r="F1988" s="287" t="s">
        <v>3559</v>
      </c>
      <c r="G1988" s="288" t="s">
        <v>3568</v>
      </c>
    </row>
    <row r="1989" spans="1:7" x14ac:dyDescent="0.2">
      <c r="A1989" s="944">
        <v>39099811002</v>
      </c>
      <c r="B1989" s="239" t="s">
        <v>1995</v>
      </c>
      <c r="C1989" s="286" t="s">
        <v>2975</v>
      </c>
      <c r="D1989" s="865" t="s">
        <v>2975</v>
      </c>
      <c r="E1989" s="287" t="s">
        <v>3562</v>
      </c>
      <c r="F1989" s="287" t="s">
        <v>3558</v>
      </c>
      <c r="G1989" s="288" t="s">
        <v>3568</v>
      </c>
    </row>
    <row r="1990" spans="1:7" x14ac:dyDescent="0.2">
      <c r="A1990" s="944">
        <v>39099811100</v>
      </c>
      <c r="B1990" s="239" t="s">
        <v>1996</v>
      </c>
      <c r="C1990" s="286" t="s">
        <v>2975</v>
      </c>
      <c r="D1990" s="865" t="s">
        <v>2975</v>
      </c>
      <c r="E1990" s="287" t="s">
        <v>3564</v>
      </c>
      <c r="F1990" s="287" t="s">
        <v>5177</v>
      </c>
      <c r="G1990" s="288" t="s">
        <v>3569</v>
      </c>
    </row>
    <row r="1991" spans="1:7" x14ac:dyDescent="0.2">
      <c r="A1991" s="944">
        <v>39099811200</v>
      </c>
      <c r="B1991" s="239" t="s">
        <v>1997</v>
      </c>
      <c r="C1991" s="286" t="s">
        <v>2975</v>
      </c>
      <c r="D1991" s="865" t="s">
        <v>2975</v>
      </c>
      <c r="E1991" s="287" t="s">
        <v>3563</v>
      </c>
      <c r="F1991" s="287" t="s">
        <v>3565</v>
      </c>
      <c r="G1991" s="288" t="s">
        <v>3569</v>
      </c>
    </row>
    <row r="1992" spans="1:7" x14ac:dyDescent="0.2">
      <c r="A1992" s="944">
        <v>39099811300</v>
      </c>
      <c r="B1992" s="239" t="s">
        <v>1998</v>
      </c>
      <c r="C1992" s="286" t="s">
        <v>2975</v>
      </c>
      <c r="D1992" s="865" t="s">
        <v>2975</v>
      </c>
      <c r="E1992" s="287" t="s">
        <v>3564</v>
      </c>
      <c r="F1992" s="287" t="s">
        <v>3565</v>
      </c>
      <c r="G1992" s="288" t="s">
        <v>3569</v>
      </c>
    </row>
    <row r="1993" spans="1:7" x14ac:dyDescent="0.2">
      <c r="A1993" s="944">
        <v>39099811400</v>
      </c>
      <c r="B1993" s="239" t="s">
        <v>1999</v>
      </c>
      <c r="C1993" s="286" t="s">
        <v>2975</v>
      </c>
      <c r="D1993" s="865" t="s">
        <v>2975</v>
      </c>
      <c r="E1993" s="287" t="s">
        <v>3564</v>
      </c>
      <c r="F1993" s="287" t="s">
        <v>5176</v>
      </c>
      <c r="G1993" s="288" t="s">
        <v>3569</v>
      </c>
    </row>
    <row r="1994" spans="1:7" x14ac:dyDescent="0.2">
      <c r="A1994" s="944">
        <v>39099811500</v>
      </c>
      <c r="B1994" s="239" t="s">
        <v>2000</v>
      </c>
      <c r="C1994" s="286" t="s">
        <v>2975</v>
      </c>
      <c r="D1994" s="865" t="s">
        <v>2975</v>
      </c>
      <c r="E1994" s="287" t="s">
        <v>3563</v>
      </c>
      <c r="F1994" s="287" t="s">
        <v>3559</v>
      </c>
      <c r="G1994" s="288" t="s">
        <v>3569</v>
      </c>
    </row>
    <row r="1995" spans="1:7" x14ac:dyDescent="0.2">
      <c r="A1995" s="944">
        <v>39099811600</v>
      </c>
      <c r="B1995" s="239" t="s">
        <v>2001</v>
      </c>
      <c r="C1995" s="286" t="s">
        <v>2975</v>
      </c>
      <c r="D1995" s="865" t="s">
        <v>2975</v>
      </c>
      <c r="E1995" s="287" t="s">
        <v>3563</v>
      </c>
      <c r="F1995" s="287" t="s">
        <v>3559</v>
      </c>
      <c r="G1995" s="288" t="s">
        <v>3569</v>
      </c>
    </row>
    <row r="1996" spans="1:7" x14ac:dyDescent="0.2">
      <c r="A1996" s="944">
        <v>39099811700</v>
      </c>
      <c r="B1996" s="239" t="s">
        <v>2002</v>
      </c>
      <c r="C1996" s="286" t="s">
        <v>2975</v>
      </c>
      <c r="D1996" s="865" t="s">
        <v>2975</v>
      </c>
      <c r="E1996" s="287" t="s">
        <v>3566</v>
      </c>
      <c r="F1996" s="287" t="s">
        <v>3558</v>
      </c>
      <c r="G1996" s="288" t="s">
        <v>3569</v>
      </c>
    </row>
    <row r="1997" spans="1:7" x14ac:dyDescent="0.2">
      <c r="A1997" s="944">
        <v>39099811800</v>
      </c>
      <c r="B1997" s="239" t="s">
        <v>2003</v>
      </c>
      <c r="C1997" s="286" t="s">
        <v>2975</v>
      </c>
      <c r="D1997" s="865" t="s">
        <v>2975</v>
      </c>
      <c r="E1997" s="287" t="s">
        <v>3563</v>
      </c>
      <c r="F1997" s="287" t="s">
        <v>5177</v>
      </c>
      <c r="G1997" s="288" t="s">
        <v>3569</v>
      </c>
    </row>
    <row r="1998" spans="1:7" x14ac:dyDescent="0.2">
      <c r="A1998" s="944">
        <v>39099811901</v>
      </c>
      <c r="B1998" s="239" t="s">
        <v>2004</v>
      </c>
      <c r="C1998" s="286" t="s">
        <v>2975</v>
      </c>
      <c r="D1998" s="865" t="s">
        <v>2975</v>
      </c>
      <c r="E1998" s="287" t="s">
        <v>3566</v>
      </c>
      <c r="F1998" s="287" t="s">
        <v>3565</v>
      </c>
      <c r="G1998" s="288" t="s">
        <v>3569</v>
      </c>
    </row>
    <row r="1999" spans="1:7" x14ac:dyDescent="0.2">
      <c r="A1999" s="944">
        <v>39099811902</v>
      </c>
      <c r="B1999" s="239" t="s">
        <v>2005</v>
      </c>
      <c r="C1999" s="286" t="s">
        <v>2975</v>
      </c>
      <c r="D1999" s="865" t="s">
        <v>2975</v>
      </c>
      <c r="E1999" s="287" t="s">
        <v>3563</v>
      </c>
      <c r="F1999" s="287" t="s">
        <v>5176</v>
      </c>
      <c r="G1999" s="288" t="s">
        <v>3569</v>
      </c>
    </row>
    <row r="2000" spans="1:7" x14ac:dyDescent="0.2">
      <c r="A2000" s="944">
        <v>39099812001</v>
      </c>
      <c r="B2000" s="239" t="s">
        <v>2006</v>
      </c>
      <c r="C2000" s="286" t="s">
        <v>2975</v>
      </c>
      <c r="D2000" s="865" t="s">
        <v>2975</v>
      </c>
      <c r="E2000" s="287" t="s">
        <v>3566</v>
      </c>
      <c r="F2000" s="287" t="s">
        <v>3559</v>
      </c>
      <c r="G2000" s="288" t="s">
        <v>3569</v>
      </c>
    </row>
    <row r="2001" spans="1:7" x14ac:dyDescent="0.2">
      <c r="A2001" s="944">
        <v>39099812002</v>
      </c>
      <c r="B2001" s="239" t="s">
        <v>2007</v>
      </c>
      <c r="C2001" s="286" t="s">
        <v>2975</v>
      </c>
      <c r="D2001" s="865" t="s">
        <v>2975</v>
      </c>
      <c r="E2001" s="287" t="s">
        <v>3566</v>
      </c>
      <c r="F2001" s="287" t="s">
        <v>3559</v>
      </c>
      <c r="G2001" s="288" t="s">
        <v>3569</v>
      </c>
    </row>
    <row r="2002" spans="1:7" x14ac:dyDescent="0.2">
      <c r="A2002" s="944">
        <v>39099812100</v>
      </c>
      <c r="B2002" s="239" t="s">
        <v>2008</v>
      </c>
      <c r="C2002" s="286" t="s">
        <v>2975</v>
      </c>
      <c r="D2002" s="865" t="s">
        <v>2975</v>
      </c>
      <c r="E2002" s="287" t="s">
        <v>3563</v>
      </c>
      <c r="F2002" s="287" t="s">
        <v>5177</v>
      </c>
      <c r="G2002" s="288" t="s">
        <v>3569</v>
      </c>
    </row>
    <row r="2003" spans="1:7" x14ac:dyDescent="0.2">
      <c r="A2003" s="944">
        <v>39099812200</v>
      </c>
      <c r="B2003" s="239" t="s">
        <v>2009</v>
      </c>
      <c r="C2003" s="286" t="s">
        <v>2975</v>
      </c>
      <c r="D2003" s="865" t="s">
        <v>2975</v>
      </c>
      <c r="E2003" s="287" t="s">
        <v>3563</v>
      </c>
      <c r="F2003" s="287" t="s">
        <v>5177</v>
      </c>
      <c r="G2003" s="288" t="s">
        <v>3569</v>
      </c>
    </row>
    <row r="2004" spans="1:7" x14ac:dyDescent="0.2">
      <c r="A2004" s="944">
        <v>39099812301</v>
      </c>
      <c r="B2004" s="239" t="s">
        <v>2010</v>
      </c>
      <c r="C2004" s="286" t="s">
        <v>2975</v>
      </c>
      <c r="D2004" s="865" t="s">
        <v>2975</v>
      </c>
      <c r="E2004" s="287" t="s">
        <v>3566</v>
      </c>
      <c r="F2004" s="287" t="s">
        <v>3565</v>
      </c>
      <c r="G2004" s="288" t="s">
        <v>3569</v>
      </c>
    </row>
    <row r="2005" spans="1:7" x14ac:dyDescent="0.2">
      <c r="A2005" s="944">
        <v>39099812302</v>
      </c>
      <c r="B2005" s="239" t="s">
        <v>2011</v>
      </c>
      <c r="C2005" s="286" t="s">
        <v>2975</v>
      </c>
      <c r="D2005" s="865" t="s">
        <v>2975</v>
      </c>
      <c r="E2005" s="287" t="s">
        <v>3566</v>
      </c>
      <c r="F2005" s="287" t="s">
        <v>5176</v>
      </c>
      <c r="G2005" s="288" t="s">
        <v>3569</v>
      </c>
    </row>
    <row r="2006" spans="1:7" x14ac:dyDescent="0.2">
      <c r="A2006" s="944">
        <v>39099812400</v>
      </c>
      <c r="B2006" s="239" t="s">
        <v>2012</v>
      </c>
      <c r="C2006" s="286" t="s">
        <v>2975</v>
      </c>
      <c r="D2006" s="865" t="s">
        <v>2975</v>
      </c>
      <c r="E2006" s="287" t="s">
        <v>3557</v>
      </c>
      <c r="F2006" s="287" t="s">
        <v>5176</v>
      </c>
      <c r="G2006" s="288" t="s">
        <v>3569</v>
      </c>
    </row>
    <row r="2007" spans="1:7" x14ac:dyDescent="0.2">
      <c r="A2007" s="944">
        <v>39099812500</v>
      </c>
      <c r="B2007" s="239" t="s">
        <v>2013</v>
      </c>
      <c r="C2007" s="286" t="s">
        <v>2975</v>
      </c>
      <c r="D2007" s="865" t="s">
        <v>2975</v>
      </c>
      <c r="E2007" s="287" t="s">
        <v>3566</v>
      </c>
      <c r="F2007" s="287" t="s">
        <v>3565</v>
      </c>
      <c r="G2007" s="288" t="s">
        <v>3569</v>
      </c>
    </row>
    <row r="2008" spans="1:7" x14ac:dyDescent="0.2">
      <c r="A2008" s="944">
        <v>39099812601</v>
      </c>
      <c r="B2008" s="239" t="s">
        <v>2014</v>
      </c>
      <c r="C2008" s="286" t="s">
        <v>2975</v>
      </c>
      <c r="D2008" s="865" t="s">
        <v>2975</v>
      </c>
      <c r="E2008" s="287" t="s">
        <v>3566</v>
      </c>
      <c r="F2008" s="287" t="s">
        <v>5177</v>
      </c>
      <c r="G2008" s="288" t="s">
        <v>3569</v>
      </c>
    </row>
    <row r="2009" spans="1:7" x14ac:dyDescent="0.2">
      <c r="A2009" s="944">
        <v>39099812602</v>
      </c>
      <c r="B2009" s="239" t="s">
        <v>2015</v>
      </c>
      <c r="C2009" s="286" t="s">
        <v>2975</v>
      </c>
      <c r="D2009" s="865" t="s">
        <v>2975</v>
      </c>
      <c r="E2009" s="287" t="s">
        <v>3563</v>
      </c>
      <c r="F2009" s="287" t="s">
        <v>5176</v>
      </c>
      <c r="G2009" s="288" t="s">
        <v>3569</v>
      </c>
    </row>
    <row r="2010" spans="1:7" x14ac:dyDescent="0.2">
      <c r="A2010" s="944">
        <v>39099812603</v>
      </c>
      <c r="B2010" s="239" t="s">
        <v>2016</v>
      </c>
      <c r="C2010" s="286" t="s">
        <v>2975</v>
      </c>
      <c r="D2010" s="865" t="s">
        <v>2975</v>
      </c>
      <c r="E2010" s="287" t="s">
        <v>3563</v>
      </c>
      <c r="F2010" s="287" t="s">
        <v>3558</v>
      </c>
      <c r="G2010" s="288" t="s">
        <v>3569</v>
      </c>
    </row>
    <row r="2011" spans="1:7" x14ac:dyDescent="0.2">
      <c r="A2011" s="944">
        <v>39099812700</v>
      </c>
      <c r="B2011" s="239" t="s">
        <v>2017</v>
      </c>
      <c r="C2011" s="286" t="s">
        <v>2975</v>
      </c>
      <c r="D2011" s="865" t="s">
        <v>2975</v>
      </c>
      <c r="E2011" s="287" t="s">
        <v>3563</v>
      </c>
      <c r="F2011" s="287" t="s">
        <v>5176</v>
      </c>
      <c r="G2011" s="288" t="s">
        <v>3568</v>
      </c>
    </row>
    <row r="2012" spans="1:7" x14ac:dyDescent="0.2">
      <c r="A2012" s="944">
        <v>39099812800</v>
      </c>
      <c r="B2012" s="239" t="s">
        <v>2018</v>
      </c>
      <c r="C2012" s="286" t="s">
        <v>2975</v>
      </c>
      <c r="D2012" s="865" t="s">
        <v>2975</v>
      </c>
      <c r="E2012" s="287" t="s">
        <v>3566</v>
      </c>
      <c r="F2012" s="287" t="s">
        <v>3558</v>
      </c>
      <c r="G2012" s="288" t="s">
        <v>3568</v>
      </c>
    </row>
    <row r="2013" spans="1:7" x14ac:dyDescent="0.2">
      <c r="A2013" s="944">
        <v>39099812900</v>
      </c>
      <c r="B2013" s="239" t="s">
        <v>2019</v>
      </c>
      <c r="C2013" s="286" t="s">
        <v>2975</v>
      </c>
      <c r="D2013" s="865" t="s">
        <v>2975</v>
      </c>
      <c r="E2013" s="287" t="s">
        <v>3562</v>
      </c>
      <c r="F2013" s="287" t="s">
        <v>3559</v>
      </c>
      <c r="G2013" s="288" t="s">
        <v>3568</v>
      </c>
    </row>
    <row r="2014" spans="1:7" x14ac:dyDescent="0.2">
      <c r="A2014" s="944">
        <v>39099813000</v>
      </c>
      <c r="B2014" s="239" t="s">
        <v>2020</v>
      </c>
      <c r="C2014" s="286" t="s">
        <v>2975</v>
      </c>
      <c r="D2014" s="865" t="s">
        <v>2975</v>
      </c>
      <c r="E2014" s="287" t="s">
        <v>3566</v>
      </c>
      <c r="F2014" s="287" t="s">
        <v>3559</v>
      </c>
      <c r="G2014" s="288" t="s">
        <v>3568</v>
      </c>
    </row>
    <row r="2015" spans="1:7" x14ac:dyDescent="0.2">
      <c r="A2015" s="944">
        <v>39099813200</v>
      </c>
      <c r="B2015" s="239" t="s">
        <v>2021</v>
      </c>
      <c r="C2015" s="286" t="s">
        <v>2975</v>
      </c>
      <c r="D2015" s="865" t="s">
        <v>2975</v>
      </c>
      <c r="E2015" s="287" t="s">
        <v>3564</v>
      </c>
      <c r="F2015" s="287" t="s">
        <v>3558</v>
      </c>
      <c r="G2015" s="288" t="s">
        <v>3568</v>
      </c>
    </row>
    <row r="2016" spans="1:7" x14ac:dyDescent="0.2">
      <c r="A2016" s="944">
        <v>39099813300</v>
      </c>
      <c r="B2016" s="239" t="s">
        <v>2022</v>
      </c>
      <c r="C2016" s="286" t="s">
        <v>2975</v>
      </c>
      <c r="D2016" s="865" t="s">
        <v>2975</v>
      </c>
      <c r="E2016" s="287" t="s">
        <v>3566</v>
      </c>
      <c r="F2016" s="287" t="s">
        <v>5176</v>
      </c>
      <c r="G2016" s="288" t="s">
        <v>3568</v>
      </c>
    </row>
    <row r="2017" spans="1:7" x14ac:dyDescent="0.2">
      <c r="A2017" s="944">
        <v>39099813400</v>
      </c>
      <c r="B2017" s="239" t="s">
        <v>2023</v>
      </c>
      <c r="C2017" s="286" t="s">
        <v>2975</v>
      </c>
      <c r="D2017" s="865" t="s">
        <v>2975</v>
      </c>
      <c r="E2017" s="287" t="s">
        <v>3562</v>
      </c>
      <c r="F2017" s="287" t="s">
        <v>3558</v>
      </c>
      <c r="G2017" s="288" t="s">
        <v>3568</v>
      </c>
    </row>
    <row r="2018" spans="1:7" x14ac:dyDescent="0.2">
      <c r="A2018" s="944">
        <v>39099813500</v>
      </c>
      <c r="B2018" s="239" t="s">
        <v>2024</v>
      </c>
      <c r="C2018" s="286" t="s">
        <v>2975</v>
      </c>
      <c r="D2018" s="865" t="s">
        <v>2975</v>
      </c>
      <c r="E2018" s="287" t="s">
        <v>3562</v>
      </c>
      <c r="F2018" s="287" t="s">
        <v>5177</v>
      </c>
      <c r="G2018" s="288" t="s">
        <v>3568</v>
      </c>
    </row>
    <row r="2019" spans="1:7" x14ac:dyDescent="0.2">
      <c r="A2019" s="944">
        <v>39099813600</v>
      </c>
      <c r="B2019" s="239" t="s">
        <v>2025</v>
      </c>
      <c r="C2019" s="286" t="s">
        <v>2975</v>
      </c>
      <c r="D2019" s="865" t="s">
        <v>2975</v>
      </c>
      <c r="E2019" s="287" t="s">
        <v>3562</v>
      </c>
      <c r="F2019" s="287" t="s">
        <v>3559</v>
      </c>
      <c r="G2019" s="288" t="s">
        <v>3568</v>
      </c>
    </row>
    <row r="2020" spans="1:7" x14ac:dyDescent="0.2">
      <c r="A2020" s="944">
        <v>39099813700</v>
      </c>
      <c r="B2020" s="239" t="s">
        <v>2026</v>
      </c>
      <c r="C2020" s="286" t="s">
        <v>4330</v>
      </c>
      <c r="D2020" s="865" t="s">
        <v>4330</v>
      </c>
      <c r="E2020" s="287" t="s">
        <v>3557</v>
      </c>
      <c r="F2020" s="287" t="s">
        <v>3561</v>
      </c>
      <c r="G2020" s="288" t="s">
        <v>3553</v>
      </c>
    </row>
    <row r="2021" spans="1:7" x14ac:dyDescent="0.2">
      <c r="A2021" s="944">
        <v>39099813800</v>
      </c>
      <c r="B2021" s="239" t="s">
        <v>2027</v>
      </c>
      <c r="C2021" s="286" t="s">
        <v>4330</v>
      </c>
      <c r="D2021" s="865" t="s">
        <v>4330</v>
      </c>
      <c r="E2021" s="287" t="s">
        <v>3557</v>
      </c>
      <c r="F2021" s="287" t="s">
        <v>3558</v>
      </c>
      <c r="G2021" s="288" t="s">
        <v>3569</v>
      </c>
    </row>
    <row r="2022" spans="1:7" x14ac:dyDescent="0.2">
      <c r="A2022" s="944">
        <v>39099813900</v>
      </c>
      <c r="B2022" s="239" t="s">
        <v>2028</v>
      </c>
      <c r="C2022" s="286" t="s">
        <v>4330</v>
      </c>
      <c r="D2022" s="865" t="s">
        <v>4330</v>
      </c>
      <c r="E2022" s="287" t="s">
        <v>3564</v>
      </c>
      <c r="F2022" s="287" t="s">
        <v>3565</v>
      </c>
      <c r="G2022" s="288" t="s">
        <v>3553</v>
      </c>
    </row>
    <row r="2023" spans="1:7" x14ac:dyDescent="0.2">
      <c r="A2023" s="944">
        <v>39099814000</v>
      </c>
      <c r="B2023" s="239" t="s">
        <v>2029</v>
      </c>
      <c r="C2023" s="286" t="s">
        <v>4330</v>
      </c>
      <c r="D2023" s="865" t="s">
        <v>4330</v>
      </c>
      <c r="E2023" s="287" t="s">
        <v>3557</v>
      </c>
      <c r="F2023" s="287" t="s">
        <v>3558</v>
      </c>
      <c r="G2023" s="288" t="s">
        <v>3553</v>
      </c>
    </row>
    <row r="2024" spans="1:7" x14ac:dyDescent="0.2">
      <c r="A2024" s="944">
        <v>39099814100</v>
      </c>
      <c r="B2024" s="239" t="s">
        <v>2030</v>
      </c>
      <c r="C2024" s="286" t="s">
        <v>4330</v>
      </c>
      <c r="D2024" s="865" t="s">
        <v>4330</v>
      </c>
      <c r="E2024" s="287" t="s">
        <v>3564</v>
      </c>
      <c r="F2024" s="287" t="s">
        <v>5176</v>
      </c>
      <c r="G2024" s="288" t="s">
        <v>3553</v>
      </c>
    </row>
    <row r="2025" spans="1:7" x14ac:dyDescent="0.2">
      <c r="A2025" s="944">
        <v>39101000100</v>
      </c>
      <c r="B2025" s="239" t="s">
        <v>2031</v>
      </c>
      <c r="C2025" s="286" t="s">
        <v>4330</v>
      </c>
      <c r="D2025" s="865" t="s">
        <v>4330</v>
      </c>
      <c r="E2025" s="287" t="s">
        <v>3557</v>
      </c>
      <c r="F2025" s="287" t="s">
        <v>3558</v>
      </c>
      <c r="G2025" s="288" t="s">
        <v>5175</v>
      </c>
    </row>
    <row r="2026" spans="1:7" x14ac:dyDescent="0.2">
      <c r="A2026" s="944">
        <v>39101000200</v>
      </c>
      <c r="B2026" s="239" t="s">
        <v>2032</v>
      </c>
      <c r="C2026" s="286" t="s">
        <v>4330</v>
      </c>
      <c r="D2026" s="865" t="s">
        <v>4330</v>
      </c>
      <c r="E2026" s="287" t="s">
        <v>3557</v>
      </c>
      <c r="F2026" s="287" t="s">
        <v>3565</v>
      </c>
      <c r="G2026" s="288" t="s">
        <v>5175</v>
      </c>
    </row>
    <row r="2027" spans="1:7" x14ac:dyDescent="0.2">
      <c r="A2027" s="944">
        <v>39101000300</v>
      </c>
      <c r="B2027" s="239" t="s">
        <v>2033</v>
      </c>
      <c r="C2027" s="286" t="s">
        <v>4330</v>
      </c>
      <c r="D2027" s="865" t="s">
        <v>4330</v>
      </c>
      <c r="E2027" s="287" t="s">
        <v>3557</v>
      </c>
      <c r="F2027" s="287" t="s">
        <v>5176</v>
      </c>
      <c r="G2027" s="288" t="s">
        <v>3568</v>
      </c>
    </row>
    <row r="2028" spans="1:7" x14ac:dyDescent="0.2">
      <c r="A2028" s="944">
        <v>39101000400</v>
      </c>
      <c r="B2028" s="239" t="s">
        <v>2034</v>
      </c>
      <c r="C2028" s="286" t="s">
        <v>4330</v>
      </c>
      <c r="D2028" s="865" t="s">
        <v>4330</v>
      </c>
      <c r="E2028" s="287" t="s">
        <v>3557</v>
      </c>
      <c r="F2028" s="287" t="s">
        <v>5177</v>
      </c>
      <c r="G2028" s="288" t="s">
        <v>3568</v>
      </c>
    </row>
    <row r="2029" spans="1:7" x14ac:dyDescent="0.2">
      <c r="A2029" s="944">
        <v>39101000501</v>
      </c>
      <c r="B2029" s="239" t="s">
        <v>2035</v>
      </c>
      <c r="C2029" s="286" t="s">
        <v>2975</v>
      </c>
      <c r="D2029" s="865" t="s">
        <v>2975</v>
      </c>
      <c r="E2029" s="287" t="s">
        <v>3557</v>
      </c>
      <c r="F2029" s="287" t="s">
        <v>5176</v>
      </c>
      <c r="G2029" s="288" t="s">
        <v>5175</v>
      </c>
    </row>
    <row r="2030" spans="1:7" x14ac:dyDescent="0.2">
      <c r="A2030" s="944">
        <v>39101000502</v>
      </c>
      <c r="B2030" s="239" t="s">
        <v>2036</v>
      </c>
      <c r="C2030" s="286" t="s">
        <v>2975</v>
      </c>
      <c r="D2030" s="865" t="s">
        <v>2975</v>
      </c>
      <c r="E2030" s="287" t="s">
        <v>3557</v>
      </c>
      <c r="F2030" s="287" t="s">
        <v>5176</v>
      </c>
      <c r="G2030" s="288" t="s">
        <v>5175</v>
      </c>
    </row>
    <row r="2031" spans="1:7" x14ac:dyDescent="0.2">
      <c r="A2031" s="944">
        <v>39101000600</v>
      </c>
      <c r="B2031" s="239" t="s">
        <v>2037</v>
      </c>
      <c r="C2031" s="286" t="s">
        <v>2975</v>
      </c>
      <c r="D2031" s="865" t="s">
        <v>2975</v>
      </c>
      <c r="E2031" s="287" t="s">
        <v>3562</v>
      </c>
      <c r="F2031" s="287" t="s">
        <v>3565</v>
      </c>
      <c r="G2031" s="288" t="s">
        <v>3568</v>
      </c>
    </row>
    <row r="2032" spans="1:7" x14ac:dyDescent="0.2">
      <c r="A2032" s="944">
        <v>39101000700</v>
      </c>
      <c r="B2032" s="239" t="s">
        <v>2038</v>
      </c>
      <c r="C2032" s="286" t="s">
        <v>2975</v>
      </c>
      <c r="D2032" s="865" t="s">
        <v>2975</v>
      </c>
      <c r="E2032" s="287" t="s">
        <v>3563</v>
      </c>
      <c r="F2032" s="287" t="s">
        <v>5176</v>
      </c>
      <c r="G2032" s="288" t="s">
        <v>5175</v>
      </c>
    </row>
    <row r="2033" spans="1:7" x14ac:dyDescent="0.2">
      <c r="A2033" s="944">
        <v>39101000800</v>
      </c>
      <c r="B2033" s="239" t="s">
        <v>2039</v>
      </c>
      <c r="C2033" s="286" t="s">
        <v>2975</v>
      </c>
      <c r="D2033" s="865" t="s">
        <v>4330</v>
      </c>
      <c r="E2033" s="287" t="s">
        <v>3564</v>
      </c>
      <c r="F2033" s="287" t="s">
        <v>3558</v>
      </c>
      <c r="G2033" s="288" t="s">
        <v>5175</v>
      </c>
    </row>
    <row r="2034" spans="1:7" x14ac:dyDescent="0.2">
      <c r="A2034" s="944">
        <v>39101000900</v>
      </c>
      <c r="B2034" s="239" t="s">
        <v>2040</v>
      </c>
      <c r="C2034" s="286" t="s">
        <v>4330</v>
      </c>
      <c r="D2034" s="865" t="s">
        <v>4330</v>
      </c>
      <c r="E2034" s="287" t="s">
        <v>3557</v>
      </c>
      <c r="F2034" s="287" t="s">
        <v>3559</v>
      </c>
      <c r="G2034" s="288" t="s">
        <v>5175</v>
      </c>
    </row>
    <row r="2035" spans="1:7" x14ac:dyDescent="0.2">
      <c r="A2035" s="944">
        <v>39101001000</v>
      </c>
      <c r="B2035" s="239" t="s">
        <v>2041</v>
      </c>
      <c r="C2035" s="286" t="s">
        <v>2975</v>
      </c>
      <c r="D2035" s="865" t="s">
        <v>2975</v>
      </c>
      <c r="E2035" s="287" t="s">
        <v>3562</v>
      </c>
      <c r="F2035" s="287" t="s">
        <v>5176</v>
      </c>
      <c r="G2035" s="288" t="s">
        <v>3568</v>
      </c>
    </row>
    <row r="2036" spans="1:7" x14ac:dyDescent="0.2">
      <c r="A2036" s="944">
        <v>39101001100</v>
      </c>
      <c r="B2036" s="239" t="s">
        <v>2042</v>
      </c>
      <c r="C2036" s="286" t="s">
        <v>2975</v>
      </c>
      <c r="D2036" s="865" t="s">
        <v>2975</v>
      </c>
      <c r="E2036" s="287" t="s">
        <v>3557</v>
      </c>
      <c r="F2036" s="287" t="s">
        <v>3559</v>
      </c>
      <c r="G2036" s="288" t="s">
        <v>3568</v>
      </c>
    </row>
    <row r="2037" spans="1:7" x14ac:dyDescent="0.2">
      <c r="A2037" s="944">
        <v>39101010100</v>
      </c>
      <c r="B2037" s="239" t="s">
        <v>2043</v>
      </c>
      <c r="C2037" s="286" t="s">
        <v>2975</v>
      </c>
      <c r="D2037" s="865" t="s">
        <v>2975</v>
      </c>
      <c r="E2037" s="287" t="s">
        <v>3564</v>
      </c>
      <c r="F2037" s="287" t="s">
        <v>5176</v>
      </c>
      <c r="G2037" s="288" t="s">
        <v>3568</v>
      </c>
    </row>
    <row r="2038" spans="1:7" x14ac:dyDescent="0.2">
      <c r="A2038" s="944">
        <v>39101010201</v>
      </c>
      <c r="B2038" s="239" t="s">
        <v>2044</v>
      </c>
      <c r="C2038" s="286" t="s">
        <v>2975</v>
      </c>
      <c r="D2038" s="865" t="s">
        <v>2975</v>
      </c>
      <c r="E2038" s="287" t="s">
        <v>3562</v>
      </c>
      <c r="F2038" s="287" t="s">
        <v>3559</v>
      </c>
      <c r="G2038" s="288" t="s">
        <v>3568</v>
      </c>
    </row>
    <row r="2039" spans="1:7" x14ac:dyDescent="0.2">
      <c r="A2039" s="944">
        <v>39101010202</v>
      </c>
      <c r="B2039" s="239" t="s">
        <v>2045</v>
      </c>
      <c r="C2039" s="286" t="s">
        <v>2975</v>
      </c>
      <c r="D2039" s="865" t="s">
        <v>2975</v>
      </c>
      <c r="E2039" s="287"/>
      <c r="F2039" s="287" t="s">
        <v>5178</v>
      </c>
      <c r="G2039" s="288" t="s">
        <v>3568</v>
      </c>
    </row>
    <row r="2040" spans="1:7" x14ac:dyDescent="0.2">
      <c r="A2040" s="944">
        <v>39101010300</v>
      </c>
      <c r="B2040" s="239" t="s">
        <v>2046</v>
      </c>
      <c r="C2040" s="286" t="s">
        <v>2975</v>
      </c>
      <c r="D2040" s="865" t="s">
        <v>2975</v>
      </c>
      <c r="E2040" s="287" t="s">
        <v>3564</v>
      </c>
      <c r="F2040" s="287" t="s">
        <v>3558</v>
      </c>
      <c r="G2040" s="288" t="s">
        <v>3568</v>
      </c>
    </row>
    <row r="2041" spans="1:7" x14ac:dyDescent="0.2">
      <c r="A2041" s="944">
        <v>39101010400</v>
      </c>
      <c r="B2041" s="239" t="s">
        <v>2047</v>
      </c>
      <c r="C2041" s="286" t="s">
        <v>2975</v>
      </c>
      <c r="D2041" s="865" t="s">
        <v>2975</v>
      </c>
      <c r="E2041" s="287" t="s">
        <v>3563</v>
      </c>
      <c r="F2041" s="287" t="s">
        <v>3565</v>
      </c>
      <c r="G2041" s="288" t="s">
        <v>3568</v>
      </c>
    </row>
    <row r="2042" spans="1:7" x14ac:dyDescent="0.2">
      <c r="A2042" s="944">
        <v>39101010500</v>
      </c>
      <c r="B2042" s="239" t="s">
        <v>2048</v>
      </c>
      <c r="C2042" s="286" t="s">
        <v>2975</v>
      </c>
      <c r="D2042" s="865" t="s">
        <v>2975</v>
      </c>
      <c r="E2042" s="287" t="s">
        <v>3566</v>
      </c>
      <c r="F2042" s="287" t="s">
        <v>5176</v>
      </c>
      <c r="G2042" s="288" t="s">
        <v>3568</v>
      </c>
    </row>
    <row r="2043" spans="1:7" x14ac:dyDescent="0.2">
      <c r="A2043" s="944">
        <v>39103400100</v>
      </c>
      <c r="B2043" s="239" t="s">
        <v>2049</v>
      </c>
      <c r="C2043" s="286" t="s">
        <v>2975</v>
      </c>
      <c r="D2043" s="865" t="s">
        <v>2975</v>
      </c>
      <c r="E2043" s="287" t="s">
        <v>3562</v>
      </c>
      <c r="F2043" s="287" t="s">
        <v>5177</v>
      </c>
      <c r="G2043" s="288" t="s">
        <v>3568</v>
      </c>
    </row>
    <row r="2044" spans="1:7" x14ac:dyDescent="0.2">
      <c r="A2044" s="944">
        <v>39103402000</v>
      </c>
      <c r="B2044" s="239" t="s">
        <v>2050</v>
      </c>
      <c r="C2044" s="286" t="s">
        <v>2975</v>
      </c>
      <c r="D2044" s="865" t="s">
        <v>2975</v>
      </c>
      <c r="E2044" s="287" t="s">
        <v>3562</v>
      </c>
      <c r="F2044" s="287" t="s">
        <v>5177</v>
      </c>
      <c r="G2044" s="288" t="s">
        <v>3568</v>
      </c>
    </row>
    <row r="2045" spans="1:7" x14ac:dyDescent="0.2">
      <c r="A2045" s="944">
        <v>39103403001</v>
      </c>
      <c r="B2045" s="239" t="s">
        <v>2051</v>
      </c>
      <c r="C2045" s="286" t="s">
        <v>2975</v>
      </c>
      <c r="D2045" s="865" t="s">
        <v>2975</v>
      </c>
      <c r="E2045" s="287" t="s">
        <v>3566</v>
      </c>
      <c r="F2045" s="287" t="s">
        <v>5176</v>
      </c>
      <c r="G2045" s="288" t="s">
        <v>3568</v>
      </c>
    </row>
    <row r="2046" spans="1:7" x14ac:dyDescent="0.2">
      <c r="A2046" s="944">
        <v>39103403002</v>
      </c>
      <c r="B2046" s="239" t="s">
        <v>2052</v>
      </c>
      <c r="C2046" s="286" t="s">
        <v>2975</v>
      </c>
      <c r="D2046" s="865" t="s">
        <v>2975</v>
      </c>
      <c r="E2046" s="287" t="s">
        <v>3563</v>
      </c>
      <c r="F2046" s="287" t="s">
        <v>3559</v>
      </c>
      <c r="G2046" s="288" t="s">
        <v>3568</v>
      </c>
    </row>
    <row r="2047" spans="1:7" x14ac:dyDescent="0.2">
      <c r="A2047" s="944">
        <v>39103404000</v>
      </c>
      <c r="B2047" s="239" t="s">
        <v>2053</v>
      </c>
      <c r="C2047" s="286" t="s">
        <v>2975</v>
      </c>
      <c r="D2047" s="865" t="s">
        <v>2975</v>
      </c>
      <c r="E2047" s="287" t="s">
        <v>3562</v>
      </c>
      <c r="F2047" s="287" t="s">
        <v>3565</v>
      </c>
      <c r="G2047" s="288" t="s">
        <v>3568</v>
      </c>
    </row>
    <row r="2048" spans="1:7" x14ac:dyDescent="0.2">
      <c r="A2048" s="944">
        <v>39103405000</v>
      </c>
      <c r="B2048" s="239" t="s">
        <v>2054</v>
      </c>
      <c r="C2048" s="286" t="s">
        <v>2975</v>
      </c>
      <c r="D2048" s="865" t="s">
        <v>2975</v>
      </c>
      <c r="E2048" s="287" t="s">
        <v>3562</v>
      </c>
      <c r="F2048" s="287" t="s">
        <v>3565</v>
      </c>
      <c r="G2048" s="288" t="s">
        <v>3568</v>
      </c>
    </row>
    <row r="2049" spans="1:7" x14ac:dyDescent="0.2">
      <c r="A2049" s="944">
        <v>39103406000</v>
      </c>
      <c r="B2049" s="239" t="s">
        <v>2055</v>
      </c>
      <c r="C2049" s="286" t="s">
        <v>2975</v>
      </c>
      <c r="D2049" s="865" t="s">
        <v>2975</v>
      </c>
      <c r="E2049" s="287" t="s">
        <v>3562</v>
      </c>
      <c r="F2049" s="287" t="s">
        <v>3565</v>
      </c>
      <c r="G2049" s="288" t="s">
        <v>3568</v>
      </c>
    </row>
    <row r="2050" spans="1:7" x14ac:dyDescent="0.2">
      <c r="A2050" s="944">
        <v>39103407000</v>
      </c>
      <c r="B2050" s="239" t="s">
        <v>2056</v>
      </c>
      <c r="C2050" s="286" t="s">
        <v>2975</v>
      </c>
      <c r="D2050" s="865" t="s">
        <v>2975</v>
      </c>
      <c r="E2050" s="287" t="s">
        <v>3562</v>
      </c>
      <c r="F2050" s="287" t="s">
        <v>5176</v>
      </c>
      <c r="G2050" s="288" t="s">
        <v>3568</v>
      </c>
    </row>
    <row r="2051" spans="1:7" x14ac:dyDescent="0.2">
      <c r="A2051" s="944">
        <v>39103408001</v>
      </c>
      <c r="B2051" s="239" t="s">
        <v>2057</v>
      </c>
      <c r="C2051" s="286" t="s">
        <v>2975</v>
      </c>
      <c r="D2051" s="865" t="s">
        <v>2975</v>
      </c>
      <c r="E2051" s="287" t="s">
        <v>3563</v>
      </c>
      <c r="F2051" s="287" t="s">
        <v>3559</v>
      </c>
      <c r="G2051" s="288" t="s">
        <v>3569</v>
      </c>
    </row>
    <row r="2052" spans="1:7" x14ac:dyDescent="0.2">
      <c r="A2052" s="944">
        <v>39103408002</v>
      </c>
      <c r="B2052" s="239" t="s">
        <v>2058</v>
      </c>
      <c r="C2052" s="286" t="s">
        <v>2975</v>
      </c>
      <c r="D2052" s="865" t="s">
        <v>2975</v>
      </c>
      <c r="E2052" s="287" t="s">
        <v>3562</v>
      </c>
      <c r="F2052" s="287" t="s">
        <v>3565</v>
      </c>
      <c r="G2052" s="288" t="s">
        <v>3569</v>
      </c>
    </row>
    <row r="2053" spans="1:7" x14ac:dyDescent="0.2">
      <c r="A2053" s="944">
        <v>39103408003</v>
      </c>
      <c r="B2053" s="239" t="s">
        <v>2059</v>
      </c>
      <c r="C2053" s="286" t="s">
        <v>2975</v>
      </c>
      <c r="D2053" s="865" t="s">
        <v>2975</v>
      </c>
      <c r="E2053" s="287" t="s">
        <v>3563</v>
      </c>
      <c r="F2053" s="287" t="s">
        <v>5177</v>
      </c>
      <c r="G2053" s="288" t="s">
        <v>3569</v>
      </c>
    </row>
    <row r="2054" spans="1:7" x14ac:dyDescent="0.2">
      <c r="A2054" s="944">
        <v>39103408100</v>
      </c>
      <c r="B2054" s="239" t="s">
        <v>2060</v>
      </c>
      <c r="C2054" s="286" t="s">
        <v>2975</v>
      </c>
      <c r="D2054" s="865" t="s">
        <v>2975</v>
      </c>
      <c r="E2054" s="287" t="s">
        <v>3564</v>
      </c>
      <c r="F2054" s="287" t="s">
        <v>3559</v>
      </c>
      <c r="G2054" s="288" t="s">
        <v>3569</v>
      </c>
    </row>
    <row r="2055" spans="1:7" x14ac:dyDescent="0.2">
      <c r="A2055" s="944">
        <v>39103408201</v>
      </c>
      <c r="B2055" s="239" t="s">
        <v>2061</v>
      </c>
      <c r="C2055" s="286" t="s">
        <v>2975</v>
      </c>
      <c r="D2055" s="865" t="s">
        <v>2975</v>
      </c>
      <c r="E2055" s="287" t="s">
        <v>3564</v>
      </c>
      <c r="F2055" s="287" t="s">
        <v>5176</v>
      </c>
      <c r="G2055" s="288" t="s">
        <v>3569</v>
      </c>
    </row>
    <row r="2056" spans="1:7" x14ac:dyDescent="0.2">
      <c r="A2056" s="944">
        <v>39103408202</v>
      </c>
      <c r="B2056" s="239" t="s">
        <v>2062</v>
      </c>
      <c r="C2056" s="286" t="s">
        <v>2975</v>
      </c>
      <c r="D2056" s="865" t="s">
        <v>2975</v>
      </c>
      <c r="E2056" s="287" t="s">
        <v>3564</v>
      </c>
      <c r="F2056" s="287" t="s">
        <v>3565</v>
      </c>
      <c r="G2056" s="288" t="s">
        <v>3569</v>
      </c>
    </row>
    <row r="2057" spans="1:7" x14ac:dyDescent="0.2">
      <c r="A2057" s="944">
        <v>39103408301</v>
      </c>
      <c r="B2057" s="239" t="s">
        <v>2063</v>
      </c>
      <c r="C2057" s="286" t="s">
        <v>2975</v>
      </c>
      <c r="D2057" s="865" t="s">
        <v>2975</v>
      </c>
      <c r="E2057" s="287" t="s">
        <v>3562</v>
      </c>
      <c r="F2057" s="287" t="s">
        <v>3559</v>
      </c>
      <c r="G2057" s="288" t="s">
        <v>3569</v>
      </c>
    </row>
    <row r="2058" spans="1:7" x14ac:dyDescent="0.2">
      <c r="A2058" s="944">
        <v>39103408302</v>
      </c>
      <c r="B2058" s="239" t="s">
        <v>2064</v>
      </c>
      <c r="C2058" s="286" t="s">
        <v>2975</v>
      </c>
      <c r="D2058" s="865" t="s">
        <v>2975</v>
      </c>
      <c r="E2058" s="287" t="s">
        <v>3564</v>
      </c>
      <c r="F2058" s="287" t="s">
        <v>5177</v>
      </c>
      <c r="G2058" s="288" t="s">
        <v>3569</v>
      </c>
    </row>
    <row r="2059" spans="1:7" x14ac:dyDescent="0.2">
      <c r="A2059" s="944">
        <v>39103409001</v>
      </c>
      <c r="B2059" s="239" t="s">
        <v>2065</v>
      </c>
      <c r="C2059" s="286" t="s">
        <v>2975</v>
      </c>
      <c r="D2059" s="865" t="s">
        <v>2975</v>
      </c>
      <c r="E2059" s="287" t="s">
        <v>3566</v>
      </c>
      <c r="F2059" s="287" t="s">
        <v>3565</v>
      </c>
      <c r="G2059" s="288" t="s">
        <v>3568</v>
      </c>
    </row>
    <row r="2060" spans="1:7" x14ac:dyDescent="0.2">
      <c r="A2060" s="944">
        <v>39103409002</v>
      </c>
      <c r="B2060" s="239" t="s">
        <v>2066</v>
      </c>
      <c r="C2060" s="286" t="s">
        <v>2975</v>
      </c>
      <c r="D2060" s="865" t="s">
        <v>2975</v>
      </c>
      <c r="E2060" s="287" t="s">
        <v>3563</v>
      </c>
      <c r="F2060" s="287" t="s">
        <v>5176</v>
      </c>
      <c r="G2060" s="288" t="s">
        <v>3568</v>
      </c>
    </row>
    <row r="2061" spans="1:7" x14ac:dyDescent="0.2">
      <c r="A2061" s="944">
        <v>39103410000</v>
      </c>
      <c r="B2061" s="239" t="s">
        <v>2067</v>
      </c>
      <c r="C2061" s="286" t="s">
        <v>2975</v>
      </c>
      <c r="D2061" s="865" t="s">
        <v>2975</v>
      </c>
      <c r="E2061" s="287" t="s">
        <v>3564</v>
      </c>
      <c r="F2061" s="287" t="s">
        <v>5177</v>
      </c>
      <c r="G2061" s="288" t="s">
        <v>3568</v>
      </c>
    </row>
    <row r="2062" spans="1:7" x14ac:dyDescent="0.2">
      <c r="A2062" s="944">
        <v>39103411001</v>
      </c>
      <c r="B2062" s="239" t="s">
        <v>2068</v>
      </c>
      <c r="C2062" s="286" t="s">
        <v>2975</v>
      </c>
      <c r="D2062" s="865" t="s">
        <v>2975</v>
      </c>
      <c r="E2062" s="287" t="s">
        <v>3566</v>
      </c>
      <c r="F2062" s="287" t="s">
        <v>3565</v>
      </c>
      <c r="G2062" s="288" t="s">
        <v>3568</v>
      </c>
    </row>
    <row r="2063" spans="1:7" x14ac:dyDescent="0.2">
      <c r="A2063" s="944">
        <v>39103411002</v>
      </c>
      <c r="B2063" s="239" t="s">
        <v>2069</v>
      </c>
      <c r="C2063" s="286" t="s">
        <v>2975</v>
      </c>
      <c r="D2063" s="865" t="s">
        <v>2975</v>
      </c>
      <c r="E2063" s="287" t="s">
        <v>3564</v>
      </c>
      <c r="F2063" s="287" t="s">
        <v>3558</v>
      </c>
      <c r="G2063" s="288" t="s">
        <v>3568</v>
      </c>
    </row>
    <row r="2064" spans="1:7" x14ac:dyDescent="0.2">
      <c r="A2064" s="944">
        <v>39103412000</v>
      </c>
      <c r="B2064" s="239" t="s">
        <v>2070</v>
      </c>
      <c r="C2064" s="286" t="s">
        <v>2975</v>
      </c>
      <c r="D2064" s="865" t="s">
        <v>2975</v>
      </c>
      <c r="E2064" s="287" t="s">
        <v>3562</v>
      </c>
      <c r="F2064" s="287" t="s">
        <v>3565</v>
      </c>
      <c r="G2064" s="288" t="s">
        <v>3568</v>
      </c>
    </row>
    <row r="2065" spans="1:7" x14ac:dyDescent="0.2">
      <c r="A2065" s="944">
        <v>39103413000</v>
      </c>
      <c r="B2065" s="239" t="s">
        <v>2071</v>
      </c>
      <c r="C2065" s="286" t="s">
        <v>2975</v>
      </c>
      <c r="D2065" s="865" t="s">
        <v>2975</v>
      </c>
      <c r="E2065" s="287" t="s">
        <v>3563</v>
      </c>
      <c r="F2065" s="287" t="s">
        <v>3565</v>
      </c>
      <c r="G2065" s="288" t="s">
        <v>3568</v>
      </c>
    </row>
    <row r="2066" spans="1:7" x14ac:dyDescent="0.2">
      <c r="A2066" s="944">
        <v>39103415100</v>
      </c>
      <c r="B2066" s="239" t="s">
        <v>2072</v>
      </c>
      <c r="C2066" s="286" t="s">
        <v>2975</v>
      </c>
      <c r="D2066" s="865" t="s">
        <v>2975</v>
      </c>
      <c r="E2066" s="287" t="s">
        <v>3563</v>
      </c>
      <c r="F2066" s="287" t="s">
        <v>3559</v>
      </c>
      <c r="G2066" s="288" t="s">
        <v>3569</v>
      </c>
    </row>
    <row r="2067" spans="1:7" x14ac:dyDescent="0.2">
      <c r="A2067" s="944">
        <v>39103415200</v>
      </c>
      <c r="B2067" s="239" t="s">
        <v>2073</v>
      </c>
      <c r="C2067" s="286" t="s">
        <v>2975</v>
      </c>
      <c r="D2067" s="865" t="s">
        <v>2975</v>
      </c>
      <c r="E2067" s="287" t="s">
        <v>3566</v>
      </c>
      <c r="F2067" s="287" t="s">
        <v>3559</v>
      </c>
      <c r="G2067" s="288" t="s">
        <v>3569</v>
      </c>
    </row>
    <row r="2068" spans="1:7" x14ac:dyDescent="0.2">
      <c r="A2068" s="944">
        <v>39103415300</v>
      </c>
      <c r="B2068" s="239" t="s">
        <v>2074</v>
      </c>
      <c r="C2068" s="286" t="s">
        <v>2975</v>
      </c>
      <c r="D2068" s="865" t="s">
        <v>2975</v>
      </c>
      <c r="E2068" s="287" t="s">
        <v>3566</v>
      </c>
      <c r="F2068" s="287" t="s">
        <v>3558</v>
      </c>
      <c r="G2068" s="288" t="s">
        <v>3569</v>
      </c>
    </row>
    <row r="2069" spans="1:7" x14ac:dyDescent="0.2">
      <c r="A2069" s="944">
        <v>39103415400</v>
      </c>
      <c r="B2069" s="239" t="s">
        <v>2075</v>
      </c>
      <c r="C2069" s="286" t="s">
        <v>2975</v>
      </c>
      <c r="D2069" s="865" t="s">
        <v>2975</v>
      </c>
      <c r="E2069" s="287" t="s">
        <v>3564</v>
      </c>
      <c r="F2069" s="287" t="s">
        <v>5176</v>
      </c>
      <c r="G2069" s="288" t="s">
        <v>3569</v>
      </c>
    </row>
    <row r="2070" spans="1:7" x14ac:dyDescent="0.2">
      <c r="A2070" s="944">
        <v>39103415800</v>
      </c>
      <c r="B2070" s="239" t="s">
        <v>2076</v>
      </c>
      <c r="C2070" s="286" t="s">
        <v>2975</v>
      </c>
      <c r="D2070" s="865" t="s">
        <v>2975</v>
      </c>
      <c r="E2070" s="287" t="s">
        <v>3566</v>
      </c>
      <c r="F2070" s="287" t="s">
        <v>3565</v>
      </c>
      <c r="G2070" s="288" t="s">
        <v>3569</v>
      </c>
    </row>
    <row r="2071" spans="1:7" x14ac:dyDescent="0.2">
      <c r="A2071" s="944">
        <v>39103416000</v>
      </c>
      <c r="B2071" s="239" t="s">
        <v>2077</v>
      </c>
      <c r="C2071" s="286" t="s">
        <v>2975</v>
      </c>
      <c r="D2071" s="865" t="s">
        <v>2975</v>
      </c>
      <c r="E2071" s="287" t="s">
        <v>3566</v>
      </c>
      <c r="F2071" s="287" t="s">
        <v>3559</v>
      </c>
      <c r="G2071" s="288" t="s">
        <v>3569</v>
      </c>
    </row>
    <row r="2072" spans="1:7" x14ac:dyDescent="0.2">
      <c r="A2072" s="944">
        <v>39103416100</v>
      </c>
      <c r="B2072" s="239" t="s">
        <v>2078</v>
      </c>
      <c r="C2072" s="286" t="s">
        <v>2975</v>
      </c>
      <c r="D2072" s="865" t="s">
        <v>2975</v>
      </c>
      <c r="E2072" s="287" t="s">
        <v>3562</v>
      </c>
      <c r="F2072" s="287" t="s">
        <v>3559</v>
      </c>
      <c r="G2072" s="288" t="s">
        <v>3568</v>
      </c>
    </row>
    <row r="2073" spans="1:7" x14ac:dyDescent="0.2">
      <c r="A2073" s="944">
        <v>39103416200</v>
      </c>
      <c r="B2073" s="239" t="s">
        <v>2079</v>
      </c>
      <c r="C2073" s="286" t="s">
        <v>2975</v>
      </c>
      <c r="D2073" s="865" t="s">
        <v>2975</v>
      </c>
      <c r="E2073" s="287" t="s">
        <v>3563</v>
      </c>
      <c r="F2073" s="287" t="s">
        <v>3559</v>
      </c>
      <c r="G2073" s="288" t="s">
        <v>3568</v>
      </c>
    </row>
    <row r="2074" spans="1:7" x14ac:dyDescent="0.2">
      <c r="A2074" s="944">
        <v>39103416300</v>
      </c>
      <c r="B2074" s="239" t="s">
        <v>2080</v>
      </c>
      <c r="C2074" s="286" t="s">
        <v>2975</v>
      </c>
      <c r="D2074" s="865" t="s">
        <v>2975</v>
      </c>
      <c r="E2074" s="287" t="s">
        <v>3566</v>
      </c>
      <c r="F2074" s="287" t="s">
        <v>3558</v>
      </c>
      <c r="G2074" s="288" t="s">
        <v>3569</v>
      </c>
    </row>
    <row r="2075" spans="1:7" x14ac:dyDescent="0.2">
      <c r="A2075" s="944">
        <v>39103416400</v>
      </c>
      <c r="B2075" s="239" t="s">
        <v>2081</v>
      </c>
      <c r="C2075" s="286" t="s">
        <v>2975</v>
      </c>
      <c r="D2075" s="865" t="s">
        <v>2975</v>
      </c>
      <c r="E2075" s="287" t="s">
        <v>3566</v>
      </c>
      <c r="F2075" s="287" t="s">
        <v>3559</v>
      </c>
      <c r="G2075" s="288" t="s">
        <v>3569</v>
      </c>
    </row>
    <row r="2076" spans="1:7" x14ac:dyDescent="0.2">
      <c r="A2076" s="944">
        <v>39103417000</v>
      </c>
      <c r="B2076" s="239" t="s">
        <v>2082</v>
      </c>
      <c r="C2076" s="286" t="s">
        <v>2975</v>
      </c>
      <c r="D2076" s="865" t="s">
        <v>2975</v>
      </c>
      <c r="E2076" s="287" t="s">
        <v>3563</v>
      </c>
      <c r="F2076" s="287" t="s">
        <v>5177</v>
      </c>
      <c r="G2076" s="288" t="s">
        <v>3569</v>
      </c>
    </row>
    <row r="2077" spans="1:7" x14ac:dyDescent="0.2">
      <c r="A2077" s="944">
        <v>39103417100</v>
      </c>
      <c r="B2077" s="239" t="s">
        <v>2083</v>
      </c>
      <c r="C2077" s="286" t="s">
        <v>2975</v>
      </c>
      <c r="D2077" s="865" t="s">
        <v>2975</v>
      </c>
      <c r="E2077" s="287" t="s">
        <v>3563</v>
      </c>
      <c r="F2077" s="287" t="s">
        <v>3559</v>
      </c>
      <c r="G2077" s="288" t="s">
        <v>3569</v>
      </c>
    </row>
    <row r="2078" spans="1:7" x14ac:dyDescent="0.2">
      <c r="A2078" s="944">
        <v>39103417200</v>
      </c>
      <c r="B2078" s="239" t="s">
        <v>2084</v>
      </c>
      <c r="C2078" s="286" t="s">
        <v>2975</v>
      </c>
      <c r="D2078" s="865" t="s">
        <v>2975</v>
      </c>
      <c r="E2078" s="287" t="s">
        <v>3566</v>
      </c>
      <c r="F2078" s="287" t="s">
        <v>3558</v>
      </c>
      <c r="G2078" s="288" t="s">
        <v>3569</v>
      </c>
    </row>
    <row r="2079" spans="1:7" x14ac:dyDescent="0.2">
      <c r="A2079" s="944">
        <v>39103417300</v>
      </c>
      <c r="B2079" s="239" t="s">
        <v>2085</v>
      </c>
      <c r="C2079" s="286" t="s">
        <v>2975</v>
      </c>
      <c r="D2079" s="865" t="s">
        <v>2975</v>
      </c>
      <c r="E2079" s="287" t="s">
        <v>3566</v>
      </c>
      <c r="F2079" s="287" t="s">
        <v>5177</v>
      </c>
      <c r="G2079" s="288" t="s">
        <v>3569</v>
      </c>
    </row>
    <row r="2080" spans="1:7" x14ac:dyDescent="0.2">
      <c r="A2080" s="944">
        <v>39105964100</v>
      </c>
      <c r="B2080" s="239" t="s">
        <v>2086</v>
      </c>
      <c r="C2080" s="286" t="s">
        <v>2975</v>
      </c>
      <c r="D2080" s="865" t="s">
        <v>2975</v>
      </c>
      <c r="E2080" s="287" t="s">
        <v>3557</v>
      </c>
      <c r="F2080" s="287" t="s">
        <v>3559</v>
      </c>
      <c r="G2080" s="288" t="s">
        <v>3568</v>
      </c>
    </row>
    <row r="2081" spans="1:7" x14ac:dyDescent="0.2">
      <c r="A2081" s="944">
        <v>39105964200</v>
      </c>
      <c r="B2081" s="239" t="s">
        <v>2087</v>
      </c>
      <c r="C2081" s="286" t="s">
        <v>2975</v>
      </c>
      <c r="D2081" s="865" t="s">
        <v>2975</v>
      </c>
      <c r="E2081" s="287" t="s">
        <v>3557</v>
      </c>
      <c r="F2081" s="287" t="s">
        <v>5176</v>
      </c>
      <c r="G2081" s="288" t="s">
        <v>3568</v>
      </c>
    </row>
    <row r="2082" spans="1:7" x14ac:dyDescent="0.2">
      <c r="A2082" s="944">
        <v>39105964300</v>
      </c>
      <c r="B2082" s="239" t="s">
        <v>2088</v>
      </c>
      <c r="C2082" s="286" t="s">
        <v>2975</v>
      </c>
      <c r="D2082" s="865" t="s">
        <v>2975</v>
      </c>
      <c r="E2082" s="287" t="s">
        <v>3557</v>
      </c>
      <c r="F2082" s="287" t="s">
        <v>3559</v>
      </c>
      <c r="G2082" s="288" t="s">
        <v>3568</v>
      </c>
    </row>
    <row r="2083" spans="1:7" x14ac:dyDescent="0.2">
      <c r="A2083" s="944">
        <v>39105964400</v>
      </c>
      <c r="B2083" s="239" t="s">
        <v>2089</v>
      </c>
      <c r="C2083" s="286" t="s">
        <v>4330</v>
      </c>
      <c r="D2083" s="865" t="s">
        <v>4330</v>
      </c>
      <c r="E2083" s="287" t="s">
        <v>3557</v>
      </c>
      <c r="F2083" s="287" t="s">
        <v>3559</v>
      </c>
      <c r="G2083" s="288" t="s">
        <v>3568</v>
      </c>
    </row>
    <row r="2084" spans="1:7" x14ac:dyDescent="0.2">
      <c r="A2084" s="944">
        <v>39105964500</v>
      </c>
      <c r="B2084" s="239" t="s">
        <v>2090</v>
      </c>
      <c r="C2084" s="286" t="s">
        <v>4330</v>
      </c>
      <c r="D2084" s="865" t="s">
        <v>4330</v>
      </c>
      <c r="E2084" s="287" t="s">
        <v>3557</v>
      </c>
      <c r="F2084" s="287" t="s">
        <v>3559</v>
      </c>
      <c r="G2084" s="288" t="s">
        <v>3568</v>
      </c>
    </row>
    <row r="2085" spans="1:7" x14ac:dyDescent="0.2">
      <c r="A2085" s="944">
        <v>39105964600</v>
      </c>
      <c r="B2085" s="239" t="s">
        <v>2091</v>
      </c>
      <c r="C2085" s="286" t="s">
        <v>2975</v>
      </c>
      <c r="D2085" s="865" t="s">
        <v>2975</v>
      </c>
      <c r="E2085" s="287" t="s">
        <v>3557</v>
      </c>
      <c r="F2085" s="287" t="s">
        <v>3565</v>
      </c>
      <c r="G2085" s="288" t="s">
        <v>3568</v>
      </c>
    </row>
    <row r="2086" spans="1:7" x14ac:dyDescent="0.2">
      <c r="A2086" s="944">
        <v>39107967200</v>
      </c>
      <c r="B2086" s="239" t="s">
        <v>2092</v>
      </c>
      <c r="C2086" s="286" t="s">
        <v>2975</v>
      </c>
      <c r="D2086" s="865" t="s">
        <v>2975</v>
      </c>
      <c r="E2086" s="287" t="s">
        <v>3566</v>
      </c>
      <c r="F2086" s="287" t="s">
        <v>5176</v>
      </c>
      <c r="G2086" s="288" t="s">
        <v>3568</v>
      </c>
    </row>
    <row r="2087" spans="1:7" x14ac:dyDescent="0.2">
      <c r="A2087" s="944">
        <v>39107967300</v>
      </c>
      <c r="B2087" s="239" t="s">
        <v>2093</v>
      </c>
      <c r="C2087" s="286" t="s">
        <v>2975</v>
      </c>
      <c r="D2087" s="865" t="s">
        <v>2975</v>
      </c>
      <c r="E2087" s="287" t="s">
        <v>3563</v>
      </c>
      <c r="F2087" s="287" t="s">
        <v>5177</v>
      </c>
      <c r="G2087" s="288" t="s">
        <v>3568</v>
      </c>
    </row>
    <row r="2088" spans="1:7" x14ac:dyDescent="0.2">
      <c r="A2088" s="944">
        <v>39107967400</v>
      </c>
      <c r="B2088" s="239" t="s">
        <v>2094</v>
      </c>
      <c r="C2088" s="286" t="s">
        <v>2975</v>
      </c>
      <c r="D2088" s="865" t="s">
        <v>2975</v>
      </c>
      <c r="E2088" s="287" t="s">
        <v>3566</v>
      </c>
      <c r="F2088" s="287" t="s">
        <v>5176</v>
      </c>
      <c r="G2088" s="288" t="s">
        <v>3568</v>
      </c>
    </row>
    <row r="2089" spans="1:7" x14ac:dyDescent="0.2">
      <c r="A2089" s="944">
        <v>39107967500</v>
      </c>
      <c r="B2089" s="239" t="s">
        <v>2095</v>
      </c>
      <c r="C2089" s="286" t="s">
        <v>2975</v>
      </c>
      <c r="D2089" s="865" t="s">
        <v>2975</v>
      </c>
      <c r="E2089" s="287" t="s">
        <v>3563</v>
      </c>
      <c r="F2089" s="287" t="s">
        <v>3565</v>
      </c>
      <c r="G2089" s="288" t="s">
        <v>3568</v>
      </c>
    </row>
    <row r="2090" spans="1:7" x14ac:dyDescent="0.2">
      <c r="A2090" s="944">
        <v>39107967600</v>
      </c>
      <c r="B2090" s="239" t="s">
        <v>2096</v>
      </c>
      <c r="C2090" s="286" t="s">
        <v>2975</v>
      </c>
      <c r="D2090" s="865" t="s">
        <v>2975</v>
      </c>
      <c r="E2090" s="287" t="s">
        <v>3566</v>
      </c>
      <c r="F2090" s="287" t="s">
        <v>5177</v>
      </c>
      <c r="G2090" s="288" t="s">
        <v>3568</v>
      </c>
    </row>
    <row r="2091" spans="1:7" x14ac:dyDescent="0.2">
      <c r="A2091" s="944">
        <v>39107967700</v>
      </c>
      <c r="B2091" s="239" t="s">
        <v>2097</v>
      </c>
      <c r="C2091" s="286" t="s">
        <v>2975</v>
      </c>
      <c r="D2091" s="865" t="s">
        <v>2975</v>
      </c>
      <c r="E2091" s="287" t="s">
        <v>3562</v>
      </c>
      <c r="F2091" s="287" t="s">
        <v>3559</v>
      </c>
      <c r="G2091" s="288" t="s">
        <v>3568</v>
      </c>
    </row>
    <row r="2092" spans="1:7" x14ac:dyDescent="0.2">
      <c r="A2092" s="944">
        <v>39107967800</v>
      </c>
      <c r="B2092" s="239" t="s">
        <v>2098</v>
      </c>
      <c r="C2092" s="286" t="s">
        <v>2975</v>
      </c>
      <c r="D2092" s="865" t="s">
        <v>2975</v>
      </c>
      <c r="E2092" s="287" t="s">
        <v>3566</v>
      </c>
      <c r="F2092" s="287" t="s">
        <v>3559</v>
      </c>
      <c r="G2092" s="288" t="s">
        <v>3568</v>
      </c>
    </row>
    <row r="2093" spans="1:7" x14ac:dyDescent="0.2">
      <c r="A2093" s="944">
        <v>39107967900</v>
      </c>
      <c r="B2093" s="239" t="s">
        <v>2099</v>
      </c>
      <c r="C2093" s="286" t="s">
        <v>2975</v>
      </c>
      <c r="D2093" s="865" t="s">
        <v>2975</v>
      </c>
      <c r="E2093" s="287" t="s">
        <v>3562</v>
      </c>
      <c r="F2093" s="287" t="s">
        <v>3559</v>
      </c>
      <c r="G2093" s="288" t="s">
        <v>3568</v>
      </c>
    </row>
    <row r="2094" spans="1:7" x14ac:dyDescent="0.2">
      <c r="A2094" s="944">
        <v>39107968000</v>
      </c>
      <c r="B2094" s="239" t="s">
        <v>2100</v>
      </c>
      <c r="C2094" s="286" t="s">
        <v>2975</v>
      </c>
      <c r="D2094" s="865" t="s">
        <v>2975</v>
      </c>
      <c r="E2094" s="287" t="s">
        <v>3562</v>
      </c>
      <c r="F2094" s="287" t="s">
        <v>3565</v>
      </c>
      <c r="G2094" s="288" t="s">
        <v>3568</v>
      </c>
    </row>
    <row r="2095" spans="1:7" x14ac:dyDescent="0.2">
      <c r="A2095" s="944">
        <v>39109300100</v>
      </c>
      <c r="B2095" s="239" t="s">
        <v>2101</v>
      </c>
      <c r="C2095" s="286" t="s">
        <v>2975</v>
      </c>
      <c r="D2095" s="865" t="s">
        <v>2975</v>
      </c>
      <c r="E2095" s="287" t="s">
        <v>3564</v>
      </c>
      <c r="F2095" s="287" t="s">
        <v>3559</v>
      </c>
      <c r="G2095" s="288" t="s">
        <v>3568</v>
      </c>
    </row>
    <row r="2096" spans="1:7" x14ac:dyDescent="0.2">
      <c r="A2096" s="944">
        <v>39109315001</v>
      </c>
      <c r="B2096" s="239" t="s">
        <v>2102</v>
      </c>
      <c r="C2096" s="286" t="s">
        <v>2975</v>
      </c>
      <c r="D2096" s="865" t="s">
        <v>2975</v>
      </c>
      <c r="E2096" s="287" t="s">
        <v>3562</v>
      </c>
      <c r="F2096" s="287" t="s">
        <v>5177</v>
      </c>
      <c r="G2096" s="288" t="s">
        <v>3568</v>
      </c>
    </row>
    <row r="2097" spans="1:7" x14ac:dyDescent="0.2">
      <c r="A2097" s="944">
        <v>39109315002</v>
      </c>
      <c r="B2097" s="239" t="s">
        <v>2103</v>
      </c>
      <c r="C2097" s="286" t="s">
        <v>2975</v>
      </c>
      <c r="D2097" s="865" t="s">
        <v>2975</v>
      </c>
      <c r="E2097" s="287" t="s">
        <v>3564</v>
      </c>
      <c r="F2097" s="287" t="s">
        <v>3558</v>
      </c>
      <c r="G2097" s="288" t="s">
        <v>3568</v>
      </c>
    </row>
    <row r="2098" spans="1:7" x14ac:dyDescent="0.2">
      <c r="A2098" s="944">
        <v>39109315100</v>
      </c>
      <c r="B2098" s="239" t="s">
        <v>2104</v>
      </c>
      <c r="C2098" s="286" t="s">
        <v>2975</v>
      </c>
      <c r="D2098" s="865" t="s">
        <v>2975</v>
      </c>
      <c r="E2098" s="287" t="s">
        <v>3557</v>
      </c>
      <c r="F2098" s="287" t="s">
        <v>5177</v>
      </c>
      <c r="G2098" s="288" t="s">
        <v>5175</v>
      </c>
    </row>
    <row r="2099" spans="1:7" x14ac:dyDescent="0.2">
      <c r="A2099" s="944">
        <v>39109315300</v>
      </c>
      <c r="B2099" s="239" t="s">
        <v>2105</v>
      </c>
      <c r="C2099" s="286" t="s">
        <v>2975</v>
      </c>
      <c r="D2099" s="865" t="s">
        <v>4330</v>
      </c>
      <c r="E2099" s="287" t="s">
        <v>3557</v>
      </c>
      <c r="F2099" s="287" t="s">
        <v>5176</v>
      </c>
      <c r="G2099" s="288" t="s">
        <v>5175</v>
      </c>
    </row>
    <row r="2100" spans="1:7" x14ac:dyDescent="0.2">
      <c r="A2100" s="944">
        <v>39109320100</v>
      </c>
      <c r="B2100" s="239" t="s">
        <v>2106</v>
      </c>
      <c r="C2100" s="286" t="s">
        <v>2975</v>
      </c>
      <c r="D2100" s="865" t="s">
        <v>2975</v>
      </c>
      <c r="E2100" s="287" t="s">
        <v>3564</v>
      </c>
      <c r="F2100" s="287" t="s">
        <v>3558</v>
      </c>
      <c r="G2100" s="288" t="s">
        <v>3568</v>
      </c>
    </row>
    <row r="2101" spans="1:7" x14ac:dyDescent="0.2">
      <c r="A2101" s="944">
        <v>39109325000</v>
      </c>
      <c r="B2101" s="239" t="s">
        <v>2107</v>
      </c>
      <c r="C2101" s="286" t="s">
        <v>2975</v>
      </c>
      <c r="D2101" s="865" t="s">
        <v>2975</v>
      </c>
      <c r="E2101" s="287" t="s">
        <v>3566</v>
      </c>
      <c r="F2101" s="287" t="s">
        <v>5177</v>
      </c>
      <c r="G2101" s="288" t="s">
        <v>3568</v>
      </c>
    </row>
    <row r="2102" spans="1:7" x14ac:dyDescent="0.2">
      <c r="A2102" s="944">
        <v>39109330100</v>
      </c>
      <c r="B2102" s="239" t="s">
        <v>2108</v>
      </c>
      <c r="C2102" s="286" t="s">
        <v>2975</v>
      </c>
      <c r="D2102" s="865" t="s">
        <v>2975</v>
      </c>
      <c r="E2102" s="287" t="s">
        <v>3566</v>
      </c>
      <c r="F2102" s="287" t="s">
        <v>3565</v>
      </c>
      <c r="G2102" s="288" t="s">
        <v>3568</v>
      </c>
    </row>
    <row r="2103" spans="1:7" x14ac:dyDescent="0.2">
      <c r="A2103" s="944">
        <v>39109340100</v>
      </c>
      <c r="B2103" s="239" t="s">
        <v>2109</v>
      </c>
      <c r="C2103" s="286" t="s">
        <v>2975</v>
      </c>
      <c r="D2103" s="865" t="s">
        <v>2975</v>
      </c>
      <c r="E2103" s="287" t="s">
        <v>3566</v>
      </c>
      <c r="F2103" s="287" t="s">
        <v>3559</v>
      </c>
      <c r="G2103" s="288" t="s">
        <v>3568</v>
      </c>
    </row>
    <row r="2104" spans="1:7" x14ac:dyDescent="0.2">
      <c r="A2104" s="944">
        <v>39109345000</v>
      </c>
      <c r="B2104" s="239" t="s">
        <v>2110</v>
      </c>
      <c r="C2104" s="286" t="s">
        <v>2975</v>
      </c>
      <c r="D2104" s="865" t="s">
        <v>2975</v>
      </c>
      <c r="E2104" s="287" t="s">
        <v>3564</v>
      </c>
      <c r="F2104" s="287" t="s">
        <v>5176</v>
      </c>
      <c r="G2104" s="288" t="s">
        <v>3569</v>
      </c>
    </row>
    <row r="2105" spans="1:7" x14ac:dyDescent="0.2">
      <c r="A2105" s="944">
        <v>39109350100</v>
      </c>
      <c r="B2105" s="239" t="s">
        <v>2111</v>
      </c>
      <c r="C2105" s="286" t="s">
        <v>2975</v>
      </c>
      <c r="D2105" s="865" t="s">
        <v>2975</v>
      </c>
      <c r="E2105" s="287" t="s">
        <v>3562</v>
      </c>
      <c r="F2105" s="287" t="s">
        <v>3559</v>
      </c>
      <c r="G2105" s="288" t="s">
        <v>3568</v>
      </c>
    </row>
    <row r="2106" spans="1:7" x14ac:dyDescent="0.2">
      <c r="A2106" s="944">
        <v>39109355001</v>
      </c>
      <c r="B2106" s="239" t="s">
        <v>2112</v>
      </c>
      <c r="C2106" s="286" t="s">
        <v>2975</v>
      </c>
      <c r="D2106" s="865" t="s">
        <v>2975</v>
      </c>
      <c r="E2106" s="287" t="s">
        <v>3563</v>
      </c>
      <c r="F2106" s="287" t="s">
        <v>5177</v>
      </c>
      <c r="G2106" s="288" t="s">
        <v>3569</v>
      </c>
    </row>
    <row r="2107" spans="1:7" x14ac:dyDescent="0.2">
      <c r="A2107" s="944">
        <v>39109355002</v>
      </c>
      <c r="B2107" s="239" t="s">
        <v>2113</v>
      </c>
      <c r="C2107" s="286" t="s">
        <v>2975</v>
      </c>
      <c r="D2107" s="865" t="s">
        <v>2975</v>
      </c>
      <c r="E2107" s="287" t="s">
        <v>3566</v>
      </c>
      <c r="F2107" s="287" t="s">
        <v>3559</v>
      </c>
      <c r="G2107" s="288" t="s">
        <v>3569</v>
      </c>
    </row>
    <row r="2108" spans="1:7" x14ac:dyDescent="0.2">
      <c r="A2108" s="944">
        <v>39109365000</v>
      </c>
      <c r="B2108" s="239" t="s">
        <v>2114</v>
      </c>
      <c r="C2108" s="286" t="s">
        <v>2975</v>
      </c>
      <c r="D2108" s="865" t="s">
        <v>2975</v>
      </c>
      <c r="E2108" s="287" t="s">
        <v>3566</v>
      </c>
      <c r="F2108" s="287" t="s">
        <v>5176</v>
      </c>
      <c r="G2108" s="288" t="s">
        <v>3569</v>
      </c>
    </row>
    <row r="2109" spans="1:7" x14ac:dyDescent="0.2">
      <c r="A2109" s="944">
        <v>39109365101</v>
      </c>
      <c r="B2109" s="239" t="s">
        <v>2115</v>
      </c>
      <c r="C2109" s="286" t="s">
        <v>2975</v>
      </c>
      <c r="D2109" s="865" t="s">
        <v>2975</v>
      </c>
      <c r="E2109" s="287" t="s">
        <v>3562</v>
      </c>
      <c r="F2109" s="287" t="s">
        <v>3559</v>
      </c>
      <c r="G2109" s="288" t="s">
        <v>3568</v>
      </c>
    </row>
    <row r="2110" spans="1:7" x14ac:dyDescent="0.2">
      <c r="A2110" s="944">
        <v>39109365102</v>
      </c>
      <c r="B2110" s="239" t="s">
        <v>2116</v>
      </c>
      <c r="C2110" s="286" t="s">
        <v>2975</v>
      </c>
      <c r="D2110" s="865" t="s">
        <v>2975</v>
      </c>
      <c r="E2110" s="287" t="s">
        <v>3566</v>
      </c>
      <c r="F2110" s="287" t="s">
        <v>3559</v>
      </c>
      <c r="G2110" s="288" t="s">
        <v>3568</v>
      </c>
    </row>
    <row r="2111" spans="1:7" x14ac:dyDescent="0.2">
      <c r="A2111" s="944">
        <v>39109365200</v>
      </c>
      <c r="B2111" s="239" t="s">
        <v>2117</v>
      </c>
      <c r="C2111" s="286" t="s">
        <v>2975</v>
      </c>
      <c r="D2111" s="865" t="s">
        <v>2975</v>
      </c>
      <c r="E2111" s="287" t="s">
        <v>3557</v>
      </c>
      <c r="F2111" s="287" t="s">
        <v>3565</v>
      </c>
      <c r="G2111" s="288" t="s">
        <v>3569</v>
      </c>
    </row>
    <row r="2112" spans="1:7" x14ac:dyDescent="0.2">
      <c r="A2112" s="944">
        <v>39109365301</v>
      </c>
      <c r="B2112" s="239" t="s">
        <v>2118</v>
      </c>
      <c r="C2112" s="286" t="s">
        <v>2975</v>
      </c>
      <c r="D2112" s="865" t="s">
        <v>2975</v>
      </c>
      <c r="E2112" s="287" t="s">
        <v>3566</v>
      </c>
      <c r="F2112" s="287" t="s">
        <v>3558</v>
      </c>
      <c r="G2112" s="288" t="s">
        <v>3568</v>
      </c>
    </row>
    <row r="2113" spans="1:7" x14ac:dyDescent="0.2">
      <c r="A2113" s="944">
        <v>39109365302</v>
      </c>
      <c r="B2113" s="239" t="s">
        <v>2119</v>
      </c>
      <c r="C2113" s="286" t="s">
        <v>2975</v>
      </c>
      <c r="D2113" s="865" t="s">
        <v>2975</v>
      </c>
      <c r="E2113" s="287" t="s">
        <v>3563</v>
      </c>
      <c r="F2113" s="287" t="s">
        <v>3559</v>
      </c>
      <c r="G2113" s="288" t="s">
        <v>3569</v>
      </c>
    </row>
    <row r="2114" spans="1:7" x14ac:dyDescent="0.2">
      <c r="A2114" s="944">
        <v>39109380100</v>
      </c>
      <c r="B2114" s="239" t="s">
        <v>2120</v>
      </c>
      <c r="C2114" s="286" t="s">
        <v>2975</v>
      </c>
      <c r="D2114" s="865" t="s">
        <v>2975</v>
      </c>
      <c r="E2114" s="287" t="s">
        <v>3562</v>
      </c>
      <c r="F2114" s="287" t="s">
        <v>3558</v>
      </c>
      <c r="G2114" s="288" t="s">
        <v>3568</v>
      </c>
    </row>
    <row r="2115" spans="1:7" x14ac:dyDescent="0.2">
      <c r="A2115" s="944">
        <v>39109390100</v>
      </c>
      <c r="B2115" s="239" t="s">
        <v>2121</v>
      </c>
      <c r="C2115" s="286" t="s">
        <v>2975</v>
      </c>
      <c r="D2115" s="865" t="s">
        <v>2975</v>
      </c>
      <c r="E2115" s="287" t="s">
        <v>3562</v>
      </c>
      <c r="F2115" s="287" t="s">
        <v>3558</v>
      </c>
      <c r="G2115" s="288" t="s">
        <v>3568</v>
      </c>
    </row>
    <row r="2116" spans="1:7" x14ac:dyDescent="0.2">
      <c r="A2116" s="944">
        <v>39111966600</v>
      </c>
      <c r="B2116" s="239" t="s">
        <v>2122</v>
      </c>
      <c r="C2116" s="286" t="s">
        <v>2975</v>
      </c>
      <c r="D2116" s="865" t="s">
        <v>2975</v>
      </c>
      <c r="E2116" s="287" t="s">
        <v>3557</v>
      </c>
      <c r="F2116" s="287" t="s">
        <v>3559</v>
      </c>
      <c r="G2116" s="288" t="s">
        <v>3568</v>
      </c>
    </row>
    <row r="2117" spans="1:7" x14ac:dyDescent="0.2">
      <c r="A2117" s="944">
        <v>39111966700</v>
      </c>
      <c r="B2117" s="239" t="s">
        <v>2123</v>
      </c>
      <c r="C2117" s="286" t="s">
        <v>2975</v>
      </c>
      <c r="D2117" s="865" t="s">
        <v>2975</v>
      </c>
      <c r="E2117" s="287" t="s">
        <v>3557</v>
      </c>
      <c r="F2117" s="287" t="s">
        <v>3565</v>
      </c>
      <c r="G2117" s="288" t="s">
        <v>3568</v>
      </c>
    </row>
    <row r="2118" spans="1:7" x14ac:dyDescent="0.2">
      <c r="A2118" s="944">
        <v>39111966800</v>
      </c>
      <c r="B2118" s="239" t="s">
        <v>2124</v>
      </c>
      <c r="C2118" s="286" t="s">
        <v>2975</v>
      </c>
      <c r="D2118" s="865" t="s">
        <v>2975</v>
      </c>
      <c r="E2118" s="287" t="s">
        <v>3557</v>
      </c>
      <c r="F2118" s="287" t="s">
        <v>5176</v>
      </c>
      <c r="G2118" s="288" t="s">
        <v>3568</v>
      </c>
    </row>
    <row r="2119" spans="1:7" x14ac:dyDescent="0.2">
      <c r="A2119" s="944">
        <v>39111966900</v>
      </c>
      <c r="B2119" s="239" t="s">
        <v>2125</v>
      </c>
      <c r="C2119" s="286" t="s">
        <v>2975</v>
      </c>
      <c r="D2119" s="865" t="s">
        <v>2975</v>
      </c>
      <c r="E2119" s="287" t="s">
        <v>3557</v>
      </c>
      <c r="F2119" s="287" t="s">
        <v>3559</v>
      </c>
      <c r="G2119" s="288" t="s">
        <v>3568</v>
      </c>
    </row>
    <row r="2120" spans="1:7" x14ac:dyDescent="0.2">
      <c r="A2120" s="944">
        <v>39113000100</v>
      </c>
      <c r="B2120" s="239" t="s">
        <v>2126</v>
      </c>
      <c r="C2120" s="286" t="s">
        <v>2975</v>
      </c>
      <c r="D2120" s="865" t="s">
        <v>2975</v>
      </c>
      <c r="E2120" s="287" t="s">
        <v>3557</v>
      </c>
      <c r="F2120" s="287" t="s">
        <v>3559</v>
      </c>
      <c r="G2120" s="288" t="s">
        <v>3569</v>
      </c>
    </row>
    <row r="2121" spans="1:7" x14ac:dyDescent="0.2">
      <c r="A2121" s="944">
        <v>39113000200</v>
      </c>
      <c r="B2121" s="239" t="s">
        <v>2127</v>
      </c>
      <c r="C2121" s="286" t="s">
        <v>4330</v>
      </c>
      <c r="D2121" s="865" t="s">
        <v>4330</v>
      </c>
      <c r="E2121" s="287" t="s">
        <v>3557</v>
      </c>
      <c r="F2121" s="287" t="s">
        <v>5176</v>
      </c>
      <c r="G2121" s="288" t="s">
        <v>3569</v>
      </c>
    </row>
    <row r="2122" spans="1:7" x14ac:dyDescent="0.2">
      <c r="A2122" s="944">
        <v>39113000300</v>
      </c>
      <c r="B2122" s="239" t="s">
        <v>2128</v>
      </c>
      <c r="C2122" s="286" t="s">
        <v>4330</v>
      </c>
      <c r="D2122" s="865" t="s">
        <v>4330</v>
      </c>
      <c r="E2122" s="287" t="s">
        <v>3557</v>
      </c>
      <c r="F2122" s="287" t="s">
        <v>5176</v>
      </c>
      <c r="G2122" s="288" t="s">
        <v>3569</v>
      </c>
    </row>
    <row r="2123" spans="1:7" x14ac:dyDescent="0.2">
      <c r="A2123" s="944">
        <v>39113000400</v>
      </c>
      <c r="B2123" s="239" t="s">
        <v>2129</v>
      </c>
      <c r="C2123" s="286" t="s">
        <v>4330</v>
      </c>
      <c r="D2123" s="865" t="s">
        <v>4330</v>
      </c>
      <c r="E2123" s="287" t="s">
        <v>3564</v>
      </c>
      <c r="F2123" s="287" t="s">
        <v>3565</v>
      </c>
      <c r="G2123" s="288" t="s">
        <v>3553</v>
      </c>
    </row>
    <row r="2124" spans="1:7" x14ac:dyDescent="0.2">
      <c r="A2124" s="944">
        <v>39113000500</v>
      </c>
      <c r="B2124" s="239" t="s">
        <v>2130</v>
      </c>
      <c r="C2124" s="286" t="s">
        <v>4330</v>
      </c>
      <c r="D2124" s="865" t="s">
        <v>4330</v>
      </c>
      <c r="E2124" s="287" t="s">
        <v>3564</v>
      </c>
      <c r="F2124" s="287" t="s">
        <v>3559</v>
      </c>
      <c r="G2124" s="288" t="s">
        <v>3553</v>
      </c>
    </row>
    <row r="2125" spans="1:7" x14ac:dyDescent="0.2">
      <c r="A2125" s="944">
        <v>39113000600</v>
      </c>
      <c r="B2125" s="239" t="s">
        <v>2131</v>
      </c>
      <c r="C2125" s="286" t="s">
        <v>2975</v>
      </c>
      <c r="D2125" s="865" t="s">
        <v>2975</v>
      </c>
      <c r="E2125" s="287" t="s">
        <v>3566</v>
      </c>
      <c r="F2125" s="287" t="s">
        <v>3560</v>
      </c>
      <c r="G2125" s="288" t="s">
        <v>3553</v>
      </c>
    </row>
    <row r="2126" spans="1:7" x14ac:dyDescent="0.2">
      <c r="A2126" s="944">
        <v>39113000700</v>
      </c>
      <c r="B2126" s="239" t="s">
        <v>2132</v>
      </c>
      <c r="C2126" s="286" t="s">
        <v>4330</v>
      </c>
      <c r="D2126" s="865" t="s">
        <v>4330</v>
      </c>
      <c r="E2126" s="287" t="s">
        <v>3564</v>
      </c>
      <c r="F2126" s="287" t="s">
        <v>3565</v>
      </c>
      <c r="G2126" s="288" t="s">
        <v>3553</v>
      </c>
    </row>
    <row r="2127" spans="1:7" x14ac:dyDescent="0.2">
      <c r="A2127" s="944">
        <v>39113000801</v>
      </c>
      <c r="B2127" s="239" t="s">
        <v>2133</v>
      </c>
      <c r="C2127" s="286" t="s">
        <v>4330</v>
      </c>
      <c r="D2127" s="865" t="s">
        <v>4330</v>
      </c>
      <c r="E2127" s="287" t="s">
        <v>3564</v>
      </c>
      <c r="F2127" s="287" t="s">
        <v>5176</v>
      </c>
      <c r="G2127" s="288" t="s">
        <v>3553</v>
      </c>
    </row>
    <row r="2128" spans="1:7" x14ac:dyDescent="0.2">
      <c r="A2128" s="944">
        <v>39113000802</v>
      </c>
      <c r="B2128" s="239" t="s">
        <v>2134</v>
      </c>
      <c r="C2128" s="286" t="s">
        <v>4330</v>
      </c>
      <c r="D2128" s="865" t="s">
        <v>4330</v>
      </c>
      <c r="E2128" s="287" t="s">
        <v>3557</v>
      </c>
      <c r="F2128" s="287" t="s">
        <v>3565</v>
      </c>
      <c r="G2128" s="288" t="s">
        <v>3553</v>
      </c>
    </row>
    <row r="2129" spans="1:7" x14ac:dyDescent="0.2">
      <c r="A2129" s="944">
        <v>39113000900</v>
      </c>
      <c r="B2129" s="239" t="s">
        <v>2135</v>
      </c>
      <c r="C2129" s="286" t="s">
        <v>4330</v>
      </c>
      <c r="D2129" s="865" t="s">
        <v>4330</v>
      </c>
      <c r="E2129" s="287" t="s">
        <v>3566</v>
      </c>
      <c r="F2129" s="287" t="s">
        <v>3559</v>
      </c>
      <c r="G2129" s="288" t="s">
        <v>3553</v>
      </c>
    </row>
    <row r="2130" spans="1:7" x14ac:dyDescent="0.2">
      <c r="A2130" s="944">
        <v>39113001000</v>
      </c>
      <c r="B2130" s="239" t="s">
        <v>2136</v>
      </c>
      <c r="C2130" s="286" t="s">
        <v>4330</v>
      </c>
      <c r="D2130" s="865" t="s">
        <v>4330</v>
      </c>
      <c r="E2130" s="287" t="s">
        <v>3557</v>
      </c>
      <c r="F2130" s="287" t="s">
        <v>3559</v>
      </c>
      <c r="G2130" s="288" t="s">
        <v>3553</v>
      </c>
    </row>
    <row r="2131" spans="1:7" x14ac:dyDescent="0.2">
      <c r="A2131" s="944">
        <v>39113001100</v>
      </c>
      <c r="B2131" s="239" t="s">
        <v>2137</v>
      </c>
      <c r="C2131" s="286" t="s">
        <v>4330</v>
      </c>
      <c r="D2131" s="865" t="s">
        <v>4330</v>
      </c>
      <c r="E2131" s="287" t="s">
        <v>3557</v>
      </c>
      <c r="F2131" s="287" t="s">
        <v>3565</v>
      </c>
      <c r="G2131" s="288" t="s">
        <v>3553</v>
      </c>
    </row>
    <row r="2132" spans="1:7" x14ac:dyDescent="0.2">
      <c r="A2132" s="944">
        <v>39113001200</v>
      </c>
      <c r="B2132" s="239" t="s">
        <v>2138</v>
      </c>
      <c r="C2132" s="286" t="s">
        <v>4330</v>
      </c>
      <c r="D2132" s="865" t="s">
        <v>4330</v>
      </c>
      <c r="E2132" s="287" t="s">
        <v>3566</v>
      </c>
      <c r="F2132" s="287" t="s">
        <v>3559</v>
      </c>
      <c r="G2132" s="288" t="s">
        <v>3553</v>
      </c>
    </row>
    <row r="2133" spans="1:7" x14ac:dyDescent="0.2">
      <c r="A2133" s="944">
        <v>39113001501</v>
      </c>
      <c r="B2133" s="239" t="s">
        <v>2139</v>
      </c>
      <c r="C2133" s="286" t="s">
        <v>4330</v>
      </c>
      <c r="D2133" s="865" t="s">
        <v>4330</v>
      </c>
      <c r="E2133" s="287" t="s">
        <v>3562</v>
      </c>
      <c r="F2133" s="287" t="s">
        <v>5177</v>
      </c>
      <c r="G2133" s="288" t="s">
        <v>3553</v>
      </c>
    </row>
    <row r="2134" spans="1:7" x14ac:dyDescent="0.2">
      <c r="A2134" s="944">
        <v>39113001600</v>
      </c>
      <c r="B2134" s="239" t="s">
        <v>2140</v>
      </c>
      <c r="C2134" s="286" t="s">
        <v>2975</v>
      </c>
      <c r="D2134" s="865" t="s">
        <v>2975</v>
      </c>
      <c r="E2134" s="287" t="s">
        <v>3557</v>
      </c>
      <c r="F2134" s="287" t="s">
        <v>5177</v>
      </c>
      <c r="G2134" s="288" t="s">
        <v>3569</v>
      </c>
    </row>
    <row r="2135" spans="1:7" x14ac:dyDescent="0.2">
      <c r="A2135" s="944">
        <v>39113001700</v>
      </c>
      <c r="B2135" s="239" t="s">
        <v>2141</v>
      </c>
      <c r="C2135" s="286" t="s">
        <v>4330</v>
      </c>
      <c r="D2135" s="865" t="s">
        <v>4330</v>
      </c>
      <c r="E2135" s="287" t="s">
        <v>3557</v>
      </c>
      <c r="F2135" s="287" t="s">
        <v>5177</v>
      </c>
      <c r="G2135" s="288" t="s">
        <v>3553</v>
      </c>
    </row>
    <row r="2136" spans="1:7" x14ac:dyDescent="0.2">
      <c r="A2136" s="944">
        <v>39113001800</v>
      </c>
      <c r="B2136" s="239" t="s">
        <v>2142</v>
      </c>
      <c r="C2136" s="286" t="s">
        <v>4330</v>
      </c>
      <c r="D2136" s="865" t="s">
        <v>4330</v>
      </c>
      <c r="E2136" s="287" t="s">
        <v>3566</v>
      </c>
      <c r="F2136" s="287" t="s">
        <v>5176</v>
      </c>
      <c r="G2136" s="288" t="s">
        <v>3553</v>
      </c>
    </row>
    <row r="2137" spans="1:7" x14ac:dyDescent="0.2">
      <c r="A2137" s="944">
        <v>39113001900</v>
      </c>
      <c r="B2137" s="239" t="s">
        <v>2143</v>
      </c>
      <c r="C2137" s="286" t="s">
        <v>4330</v>
      </c>
      <c r="D2137" s="865" t="s">
        <v>4330</v>
      </c>
      <c r="E2137" s="287" t="s">
        <v>3563</v>
      </c>
      <c r="F2137" s="287" t="s">
        <v>3565</v>
      </c>
      <c r="G2137" s="288" t="s">
        <v>3553</v>
      </c>
    </row>
    <row r="2138" spans="1:7" x14ac:dyDescent="0.2">
      <c r="A2138" s="944">
        <v>39113002000</v>
      </c>
      <c r="B2138" s="239" t="s">
        <v>2144</v>
      </c>
      <c r="C2138" s="286" t="s">
        <v>4330</v>
      </c>
      <c r="D2138" s="865" t="s">
        <v>4330</v>
      </c>
      <c r="E2138" s="287" t="s">
        <v>3564</v>
      </c>
      <c r="F2138" s="287" t="s">
        <v>5176</v>
      </c>
      <c r="G2138" s="288" t="s">
        <v>3553</v>
      </c>
    </row>
    <row r="2139" spans="1:7" x14ac:dyDescent="0.2">
      <c r="A2139" s="944">
        <v>39113002200</v>
      </c>
      <c r="B2139" s="239" t="s">
        <v>2145</v>
      </c>
      <c r="C2139" s="286" t="s">
        <v>4330</v>
      </c>
      <c r="D2139" s="865" t="s">
        <v>4330</v>
      </c>
      <c r="E2139" s="287" t="s">
        <v>3564</v>
      </c>
      <c r="F2139" s="287" t="s">
        <v>3558</v>
      </c>
      <c r="G2139" s="288" t="s">
        <v>3553</v>
      </c>
    </row>
    <row r="2140" spans="1:7" x14ac:dyDescent="0.2">
      <c r="A2140" s="944">
        <v>39113002300</v>
      </c>
      <c r="B2140" s="239" t="s">
        <v>2146</v>
      </c>
      <c r="C2140" s="286" t="s">
        <v>4330</v>
      </c>
      <c r="D2140" s="865" t="s">
        <v>4330</v>
      </c>
      <c r="E2140" s="287" t="s">
        <v>3566</v>
      </c>
      <c r="F2140" s="287" t="s">
        <v>3559</v>
      </c>
      <c r="G2140" s="288" t="s">
        <v>3553</v>
      </c>
    </row>
    <row r="2141" spans="1:7" x14ac:dyDescent="0.2">
      <c r="A2141" s="944">
        <v>39113002400</v>
      </c>
      <c r="B2141" s="239" t="s">
        <v>2147</v>
      </c>
      <c r="C2141" s="286" t="s">
        <v>4330</v>
      </c>
      <c r="D2141" s="865" t="s">
        <v>4330</v>
      </c>
      <c r="E2141" s="287" t="s">
        <v>3566</v>
      </c>
      <c r="F2141" s="287" t="s">
        <v>3558</v>
      </c>
      <c r="G2141" s="288" t="s">
        <v>3553</v>
      </c>
    </row>
    <row r="2142" spans="1:7" x14ac:dyDescent="0.2">
      <c r="A2142" s="944">
        <v>39113002500</v>
      </c>
      <c r="B2142" s="239" t="s">
        <v>2148</v>
      </c>
      <c r="C2142" s="286" t="s">
        <v>2975</v>
      </c>
      <c r="D2142" s="865" t="s">
        <v>2975</v>
      </c>
      <c r="E2142" s="287" t="s">
        <v>3557</v>
      </c>
      <c r="F2142" s="287" t="s">
        <v>3558</v>
      </c>
      <c r="G2142" s="288" t="s">
        <v>3569</v>
      </c>
    </row>
    <row r="2143" spans="1:7" x14ac:dyDescent="0.2">
      <c r="A2143" s="944">
        <v>39113002600</v>
      </c>
      <c r="B2143" s="239" t="s">
        <v>2149</v>
      </c>
      <c r="C2143" s="286" t="s">
        <v>4330</v>
      </c>
      <c r="D2143" s="865" t="s">
        <v>2975</v>
      </c>
      <c r="E2143" s="287" t="s">
        <v>3563</v>
      </c>
      <c r="F2143" s="287" t="s">
        <v>3558</v>
      </c>
      <c r="G2143" s="288" t="s">
        <v>3553</v>
      </c>
    </row>
    <row r="2144" spans="1:7" x14ac:dyDescent="0.2">
      <c r="A2144" s="944">
        <v>39113002700</v>
      </c>
      <c r="B2144" s="239" t="s">
        <v>2150</v>
      </c>
      <c r="C2144" s="286" t="s">
        <v>2975</v>
      </c>
      <c r="D2144" s="865" t="s">
        <v>2975</v>
      </c>
      <c r="E2144" s="287" t="s">
        <v>3563</v>
      </c>
      <c r="F2144" s="287" t="s">
        <v>3565</v>
      </c>
      <c r="G2144" s="288" t="s">
        <v>3553</v>
      </c>
    </row>
    <row r="2145" spans="1:7" x14ac:dyDescent="0.2">
      <c r="A2145" s="944">
        <v>39113002800</v>
      </c>
      <c r="B2145" s="239" t="s">
        <v>2151</v>
      </c>
      <c r="C2145" s="286" t="s">
        <v>2975</v>
      </c>
      <c r="D2145" s="865" t="s">
        <v>2975</v>
      </c>
      <c r="E2145" s="287" t="s">
        <v>3564</v>
      </c>
      <c r="F2145" s="287" t="s">
        <v>3559</v>
      </c>
      <c r="G2145" s="288" t="s">
        <v>3569</v>
      </c>
    </row>
    <row r="2146" spans="1:7" x14ac:dyDescent="0.2">
      <c r="A2146" s="944">
        <v>39113002900</v>
      </c>
      <c r="B2146" s="239" t="s">
        <v>2152</v>
      </c>
      <c r="C2146" s="286" t="s">
        <v>2975</v>
      </c>
      <c r="D2146" s="865" t="s">
        <v>2975</v>
      </c>
      <c r="E2146" s="287" t="s">
        <v>3563</v>
      </c>
      <c r="F2146" s="287" t="s">
        <v>5176</v>
      </c>
      <c r="G2146" s="288" t="s">
        <v>3553</v>
      </c>
    </row>
    <row r="2147" spans="1:7" x14ac:dyDescent="0.2">
      <c r="A2147" s="944">
        <v>39113003000</v>
      </c>
      <c r="B2147" s="239" t="s">
        <v>2153</v>
      </c>
      <c r="C2147" s="286" t="s">
        <v>2975</v>
      </c>
      <c r="D2147" s="865" t="s">
        <v>2975</v>
      </c>
      <c r="E2147" s="287" t="s">
        <v>3563</v>
      </c>
      <c r="F2147" s="287" t="s">
        <v>3565</v>
      </c>
      <c r="G2147" s="288" t="s">
        <v>3553</v>
      </c>
    </row>
    <row r="2148" spans="1:7" x14ac:dyDescent="0.2">
      <c r="A2148" s="944">
        <v>39113003100</v>
      </c>
      <c r="B2148" s="239" t="s">
        <v>2154</v>
      </c>
      <c r="C2148" s="286" t="s">
        <v>4330</v>
      </c>
      <c r="D2148" s="865" t="s">
        <v>4330</v>
      </c>
      <c r="E2148" s="287" t="s">
        <v>3563</v>
      </c>
      <c r="F2148" s="287" t="s">
        <v>3558</v>
      </c>
      <c r="G2148" s="288" t="s">
        <v>3553</v>
      </c>
    </row>
    <row r="2149" spans="1:7" x14ac:dyDescent="0.2">
      <c r="A2149" s="944">
        <v>39113003201</v>
      </c>
      <c r="B2149" s="239" t="s">
        <v>2155</v>
      </c>
      <c r="C2149" s="286" t="s">
        <v>2975</v>
      </c>
      <c r="D2149" s="865" t="s">
        <v>2975</v>
      </c>
      <c r="E2149" s="287" t="s">
        <v>3562</v>
      </c>
      <c r="F2149" s="287" t="s">
        <v>3565</v>
      </c>
      <c r="G2149" s="288" t="s">
        <v>3553</v>
      </c>
    </row>
    <row r="2150" spans="1:7" x14ac:dyDescent="0.2">
      <c r="A2150" s="944">
        <v>39113003300</v>
      </c>
      <c r="B2150" s="239" t="s">
        <v>2156</v>
      </c>
      <c r="C2150" s="286" t="s">
        <v>2975</v>
      </c>
      <c r="D2150" s="865" t="s">
        <v>4330</v>
      </c>
      <c r="E2150" s="287" t="s">
        <v>3563</v>
      </c>
      <c r="F2150" s="287" t="s">
        <v>5176</v>
      </c>
      <c r="G2150" s="288" t="s">
        <v>3553</v>
      </c>
    </row>
    <row r="2151" spans="1:7" x14ac:dyDescent="0.2">
      <c r="A2151" s="944">
        <v>39113003402</v>
      </c>
      <c r="B2151" s="239" t="s">
        <v>2157</v>
      </c>
      <c r="C2151" s="286" t="s">
        <v>4330</v>
      </c>
      <c r="D2151" s="865" t="s">
        <v>4330</v>
      </c>
      <c r="E2151" s="287" t="s">
        <v>3562</v>
      </c>
      <c r="F2151" s="287" t="s">
        <v>3558</v>
      </c>
      <c r="G2151" s="288" t="s">
        <v>3553</v>
      </c>
    </row>
    <row r="2152" spans="1:7" x14ac:dyDescent="0.2">
      <c r="A2152" s="944">
        <v>39113003403</v>
      </c>
      <c r="B2152" s="239" t="s">
        <v>2158</v>
      </c>
      <c r="C2152" s="286" t="s">
        <v>2975</v>
      </c>
      <c r="D2152" s="865" t="s">
        <v>2975</v>
      </c>
      <c r="E2152" s="287" t="s">
        <v>3566</v>
      </c>
      <c r="F2152" s="287" t="s">
        <v>3558</v>
      </c>
      <c r="G2152" s="288" t="s">
        <v>3569</v>
      </c>
    </row>
    <row r="2153" spans="1:7" x14ac:dyDescent="0.2">
      <c r="A2153" s="944">
        <v>39113003404</v>
      </c>
      <c r="B2153" s="239" t="s">
        <v>2159</v>
      </c>
      <c r="C2153" s="286" t="s">
        <v>4330</v>
      </c>
      <c r="D2153" s="865" t="s">
        <v>4330</v>
      </c>
      <c r="E2153" s="287" t="s">
        <v>3562</v>
      </c>
      <c r="F2153" s="287" t="s">
        <v>5177</v>
      </c>
      <c r="G2153" s="288" t="s">
        <v>3553</v>
      </c>
    </row>
    <row r="2154" spans="1:7" x14ac:dyDescent="0.2">
      <c r="A2154" s="944">
        <v>39113003500</v>
      </c>
      <c r="B2154" s="239" t="s">
        <v>2160</v>
      </c>
      <c r="C2154" s="286" t="s">
        <v>4330</v>
      </c>
      <c r="D2154" s="865" t="s">
        <v>4330</v>
      </c>
      <c r="E2154" s="287" t="s">
        <v>3566</v>
      </c>
      <c r="F2154" s="287" t="s">
        <v>5177</v>
      </c>
      <c r="G2154" s="288" t="s">
        <v>3553</v>
      </c>
    </row>
    <row r="2155" spans="1:7" x14ac:dyDescent="0.2">
      <c r="A2155" s="944">
        <v>39113003800</v>
      </c>
      <c r="B2155" s="239" t="s">
        <v>2161</v>
      </c>
      <c r="C2155" s="286" t="s">
        <v>4330</v>
      </c>
      <c r="D2155" s="865" t="s">
        <v>4330</v>
      </c>
      <c r="E2155" s="287" t="s">
        <v>3557</v>
      </c>
      <c r="F2155" s="287" t="s">
        <v>3558</v>
      </c>
      <c r="G2155" s="288" t="s">
        <v>3553</v>
      </c>
    </row>
    <row r="2156" spans="1:7" x14ac:dyDescent="0.2">
      <c r="A2156" s="944">
        <v>39113003900</v>
      </c>
      <c r="B2156" s="239" t="s">
        <v>2162</v>
      </c>
      <c r="C2156" s="286" t="s">
        <v>4330</v>
      </c>
      <c r="D2156" s="865" t="s">
        <v>4330</v>
      </c>
      <c r="E2156" s="287" t="s">
        <v>3564</v>
      </c>
      <c r="F2156" s="287" t="s">
        <v>5176</v>
      </c>
      <c r="G2156" s="288" t="s">
        <v>3553</v>
      </c>
    </row>
    <row r="2157" spans="1:7" x14ac:dyDescent="0.2">
      <c r="A2157" s="944">
        <v>39113004100</v>
      </c>
      <c r="B2157" s="239" t="s">
        <v>2163</v>
      </c>
      <c r="C2157" s="286" t="s">
        <v>4330</v>
      </c>
      <c r="D2157" s="865" t="s">
        <v>4330</v>
      </c>
      <c r="E2157" s="287" t="s">
        <v>3557</v>
      </c>
      <c r="F2157" s="287" t="s">
        <v>3565</v>
      </c>
      <c r="G2157" s="288" t="s">
        <v>3569</v>
      </c>
    </row>
    <row r="2158" spans="1:7" x14ac:dyDescent="0.2">
      <c r="A2158" s="944">
        <v>39113004200</v>
      </c>
      <c r="B2158" s="239" t="s">
        <v>2164</v>
      </c>
      <c r="C2158" s="286" t="s">
        <v>4330</v>
      </c>
      <c r="D2158" s="865" t="s">
        <v>4330</v>
      </c>
      <c r="E2158" s="287" t="s">
        <v>3557</v>
      </c>
      <c r="F2158" s="287" t="s">
        <v>3559</v>
      </c>
      <c r="G2158" s="288" t="s">
        <v>3553</v>
      </c>
    </row>
    <row r="2159" spans="1:7" x14ac:dyDescent="0.2">
      <c r="A2159" s="944">
        <v>39113004300</v>
      </c>
      <c r="B2159" s="239" t="s">
        <v>2165</v>
      </c>
      <c r="C2159" s="286" t="s">
        <v>4330</v>
      </c>
      <c r="D2159" s="865" t="s">
        <v>4330</v>
      </c>
      <c r="E2159" s="287" t="s">
        <v>3557</v>
      </c>
      <c r="F2159" s="287" t="s">
        <v>5176</v>
      </c>
      <c r="G2159" s="288" t="s">
        <v>3569</v>
      </c>
    </row>
    <row r="2160" spans="1:7" x14ac:dyDescent="0.2">
      <c r="A2160" s="944">
        <v>39113004400</v>
      </c>
      <c r="B2160" s="239" t="s">
        <v>2166</v>
      </c>
      <c r="C2160" s="286" t="s">
        <v>4330</v>
      </c>
      <c r="D2160" s="865" t="s">
        <v>4330</v>
      </c>
      <c r="E2160" s="287" t="s">
        <v>3557</v>
      </c>
      <c r="F2160" s="287" t="s">
        <v>5176</v>
      </c>
      <c r="G2160" s="288" t="s">
        <v>3553</v>
      </c>
    </row>
    <row r="2161" spans="1:7" x14ac:dyDescent="0.2">
      <c r="A2161" s="944">
        <v>39113004600</v>
      </c>
      <c r="B2161" s="239" t="s">
        <v>2167</v>
      </c>
      <c r="C2161" s="286" t="s">
        <v>4330</v>
      </c>
      <c r="D2161" s="865" t="s">
        <v>4330</v>
      </c>
      <c r="E2161" s="287" t="s">
        <v>3557</v>
      </c>
      <c r="F2161" s="287" t="s">
        <v>5176</v>
      </c>
      <c r="G2161" s="288" t="s">
        <v>3569</v>
      </c>
    </row>
    <row r="2162" spans="1:7" x14ac:dyDescent="0.2">
      <c r="A2162" s="944">
        <v>39113010100</v>
      </c>
      <c r="B2162" s="239" t="s">
        <v>2168</v>
      </c>
      <c r="C2162" s="286" t="s">
        <v>2975</v>
      </c>
      <c r="D2162" s="865" t="s">
        <v>2975</v>
      </c>
      <c r="E2162" s="287" t="s">
        <v>3562</v>
      </c>
      <c r="F2162" s="287" t="s">
        <v>5177</v>
      </c>
      <c r="G2162" s="288" t="s">
        <v>3569</v>
      </c>
    </row>
    <row r="2163" spans="1:7" x14ac:dyDescent="0.2">
      <c r="A2163" s="944">
        <v>39113010200</v>
      </c>
      <c r="B2163" s="239" t="s">
        <v>2169</v>
      </c>
      <c r="C2163" s="286" t="s">
        <v>2975</v>
      </c>
      <c r="D2163" s="865" t="s">
        <v>2975</v>
      </c>
      <c r="E2163" s="287" t="s">
        <v>3562</v>
      </c>
      <c r="F2163" s="287" t="s">
        <v>3558</v>
      </c>
      <c r="G2163" s="288" t="s">
        <v>3569</v>
      </c>
    </row>
    <row r="2164" spans="1:7" x14ac:dyDescent="0.2">
      <c r="A2164" s="944">
        <v>39113020100</v>
      </c>
      <c r="B2164" s="239" t="s">
        <v>2170</v>
      </c>
      <c r="C2164" s="286" t="s">
        <v>2975</v>
      </c>
      <c r="D2164" s="865" t="s">
        <v>2975</v>
      </c>
      <c r="E2164" s="287" t="s">
        <v>3563</v>
      </c>
      <c r="F2164" s="287" t="s">
        <v>3559</v>
      </c>
      <c r="G2164" s="288" t="s">
        <v>3569</v>
      </c>
    </row>
    <row r="2165" spans="1:7" x14ac:dyDescent="0.2">
      <c r="A2165" s="944">
        <v>39113020200</v>
      </c>
      <c r="B2165" s="239" t="s">
        <v>2171</v>
      </c>
      <c r="C2165" s="286" t="s">
        <v>2975</v>
      </c>
      <c r="D2165" s="865" t="s">
        <v>2975</v>
      </c>
      <c r="E2165" s="287" t="s">
        <v>3563</v>
      </c>
      <c r="F2165" s="287" t="s">
        <v>3558</v>
      </c>
      <c r="G2165" s="288" t="s">
        <v>3569</v>
      </c>
    </row>
    <row r="2166" spans="1:7" x14ac:dyDescent="0.2">
      <c r="A2166" s="944">
        <v>39113020300</v>
      </c>
      <c r="B2166" s="239" t="s">
        <v>2172</v>
      </c>
      <c r="C2166" s="286" t="s">
        <v>2975</v>
      </c>
      <c r="D2166" s="865" t="s">
        <v>2975</v>
      </c>
      <c r="E2166" s="287" t="s">
        <v>3563</v>
      </c>
      <c r="F2166" s="287" t="s">
        <v>5177</v>
      </c>
      <c r="G2166" s="288" t="s">
        <v>3569</v>
      </c>
    </row>
    <row r="2167" spans="1:7" x14ac:dyDescent="0.2">
      <c r="A2167" s="944">
        <v>39113020400</v>
      </c>
      <c r="B2167" s="239" t="s">
        <v>2173</v>
      </c>
      <c r="C2167" s="286" t="s">
        <v>2975</v>
      </c>
      <c r="D2167" s="865" t="s">
        <v>2975</v>
      </c>
      <c r="E2167" s="287" t="s">
        <v>3563</v>
      </c>
      <c r="F2167" s="287" t="s">
        <v>5177</v>
      </c>
      <c r="G2167" s="288" t="s">
        <v>3569</v>
      </c>
    </row>
    <row r="2168" spans="1:7" x14ac:dyDescent="0.2">
      <c r="A2168" s="944">
        <v>39113020500</v>
      </c>
      <c r="B2168" s="239" t="s">
        <v>2174</v>
      </c>
      <c r="C2168" s="286" t="s">
        <v>2975</v>
      </c>
      <c r="D2168" s="865" t="s">
        <v>2975</v>
      </c>
      <c r="E2168" s="287" t="s">
        <v>3563</v>
      </c>
      <c r="F2168" s="287" t="s">
        <v>3558</v>
      </c>
      <c r="G2168" s="288" t="s">
        <v>3569</v>
      </c>
    </row>
    <row r="2169" spans="1:7" x14ac:dyDescent="0.2">
      <c r="A2169" s="944">
        <v>39113020601</v>
      </c>
      <c r="B2169" s="239" t="s">
        <v>2175</v>
      </c>
      <c r="C2169" s="286" t="s">
        <v>2975</v>
      </c>
      <c r="D2169" s="865" t="s">
        <v>2975</v>
      </c>
      <c r="E2169" s="287" t="s">
        <v>3563</v>
      </c>
      <c r="F2169" s="287" t="s">
        <v>3558</v>
      </c>
      <c r="G2169" s="288" t="s">
        <v>3569</v>
      </c>
    </row>
    <row r="2170" spans="1:7" x14ac:dyDescent="0.2">
      <c r="A2170" s="944">
        <v>39113020602</v>
      </c>
      <c r="B2170" s="239" t="s">
        <v>2176</v>
      </c>
      <c r="C2170" s="286" t="s">
        <v>2975</v>
      </c>
      <c r="D2170" s="865" t="s">
        <v>2975</v>
      </c>
      <c r="E2170" s="287" t="s">
        <v>3562</v>
      </c>
      <c r="F2170" s="287" t="s">
        <v>3565</v>
      </c>
      <c r="G2170" s="288" t="s">
        <v>3569</v>
      </c>
    </row>
    <row r="2171" spans="1:7" x14ac:dyDescent="0.2">
      <c r="A2171" s="944">
        <v>39113020700</v>
      </c>
      <c r="B2171" s="239" t="s">
        <v>2177</v>
      </c>
      <c r="C2171" s="286" t="s">
        <v>2975</v>
      </c>
      <c r="D2171" s="865" t="s">
        <v>2975</v>
      </c>
      <c r="E2171" s="287" t="s">
        <v>3563</v>
      </c>
      <c r="F2171" s="287" t="s">
        <v>3559</v>
      </c>
      <c r="G2171" s="288" t="s">
        <v>3569</v>
      </c>
    </row>
    <row r="2172" spans="1:7" x14ac:dyDescent="0.2">
      <c r="A2172" s="944">
        <v>39113020800</v>
      </c>
      <c r="B2172" s="239" t="s">
        <v>2178</v>
      </c>
      <c r="C2172" s="286" t="s">
        <v>2975</v>
      </c>
      <c r="D2172" s="865" t="s">
        <v>2975</v>
      </c>
      <c r="E2172" s="287" t="s">
        <v>3562</v>
      </c>
      <c r="F2172" s="287" t="s">
        <v>3565</v>
      </c>
      <c r="G2172" s="288" t="s">
        <v>3569</v>
      </c>
    </row>
    <row r="2173" spans="1:7" x14ac:dyDescent="0.2">
      <c r="A2173" s="944">
        <v>39113020900</v>
      </c>
      <c r="B2173" s="239" t="s">
        <v>2179</v>
      </c>
      <c r="C2173" s="286" t="s">
        <v>2975</v>
      </c>
      <c r="D2173" s="865" t="s">
        <v>2975</v>
      </c>
      <c r="E2173" s="287" t="s">
        <v>3566</v>
      </c>
      <c r="F2173" s="287" t="s">
        <v>3559</v>
      </c>
      <c r="G2173" s="288" t="s">
        <v>3569</v>
      </c>
    </row>
    <row r="2174" spans="1:7" x14ac:dyDescent="0.2">
      <c r="A2174" s="944">
        <v>39113021000</v>
      </c>
      <c r="B2174" s="239" t="s">
        <v>2180</v>
      </c>
      <c r="C2174" s="286" t="s">
        <v>2975</v>
      </c>
      <c r="D2174" s="865" t="s">
        <v>2975</v>
      </c>
      <c r="E2174" s="287" t="s">
        <v>3566</v>
      </c>
      <c r="F2174" s="287" t="s">
        <v>5177</v>
      </c>
      <c r="G2174" s="288" t="s">
        <v>3569</v>
      </c>
    </row>
    <row r="2175" spans="1:7" x14ac:dyDescent="0.2">
      <c r="A2175" s="944">
        <v>39113021100</v>
      </c>
      <c r="B2175" s="239" t="s">
        <v>2181</v>
      </c>
      <c r="C2175" s="286" t="s">
        <v>2975</v>
      </c>
      <c r="D2175" s="865" t="s">
        <v>2975</v>
      </c>
      <c r="E2175" s="287" t="s">
        <v>3566</v>
      </c>
      <c r="F2175" s="287" t="s">
        <v>5177</v>
      </c>
      <c r="G2175" s="288" t="s">
        <v>3569</v>
      </c>
    </row>
    <row r="2176" spans="1:7" x14ac:dyDescent="0.2">
      <c r="A2176" s="944">
        <v>39113021200</v>
      </c>
      <c r="B2176" s="239" t="s">
        <v>2182</v>
      </c>
      <c r="C2176" s="286" t="s">
        <v>2975</v>
      </c>
      <c r="D2176" s="865" t="s">
        <v>2975</v>
      </c>
      <c r="E2176" s="287" t="s">
        <v>3566</v>
      </c>
      <c r="F2176" s="287" t="s">
        <v>5177</v>
      </c>
      <c r="G2176" s="288" t="s">
        <v>3569</v>
      </c>
    </row>
    <row r="2177" spans="1:7" x14ac:dyDescent="0.2">
      <c r="A2177" s="944">
        <v>39113021301</v>
      </c>
      <c r="B2177" s="239" t="s">
        <v>2183</v>
      </c>
      <c r="C2177" s="286" t="s">
        <v>2975</v>
      </c>
      <c r="D2177" s="865" t="s">
        <v>2975</v>
      </c>
      <c r="E2177" s="287" t="s">
        <v>3566</v>
      </c>
      <c r="F2177" s="287" t="s">
        <v>5177</v>
      </c>
      <c r="G2177" s="288" t="s">
        <v>3569</v>
      </c>
    </row>
    <row r="2178" spans="1:7" x14ac:dyDescent="0.2">
      <c r="A2178" s="944">
        <v>39113021302</v>
      </c>
      <c r="B2178" s="239" t="s">
        <v>2184</v>
      </c>
      <c r="C2178" s="286" t="s">
        <v>2975</v>
      </c>
      <c r="D2178" s="865" t="s">
        <v>2975</v>
      </c>
      <c r="E2178" s="287" t="s">
        <v>3563</v>
      </c>
      <c r="F2178" s="287" t="s">
        <v>5177</v>
      </c>
      <c r="G2178" s="288" t="s">
        <v>3569</v>
      </c>
    </row>
    <row r="2179" spans="1:7" x14ac:dyDescent="0.2">
      <c r="A2179" s="944">
        <v>39113021400</v>
      </c>
      <c r="B2179" s="239" t="s">
        <v>2185</v>
      </c>
      <c r="C2179" s="286" t="s">
        <v>2975</v>
      </c>
      <c r="D2179" s="865" t="s">
        <v>2975</v>
      </c>
      <c r="E2179" s="287" t="s">
        <v>3563</v>
      </c>
      <c r="F2179" s="287" t="s">
        <v>5177</v>
      </c>
      <c r="G2179" s="288" t="s">
        <v>3569</v>
      </c>
    </row>
    <row r="2180" spans="1:7" x14ac:dyDescent="0.2">
      <c r="A2180" s="944">
        <v>39113021501</v>
      </c>
      <c r="B2180" s="239" t="s">
        <v>2186</v>
      </c>
      <c r="C2180" s="286" t="s">
        <v>2975</v>
      </c>
      <c r="D2180" s="865" t="s">
        <v>2975</v>
      </c>
      <c r="E2180" s="287" t="s">
        <v>3566</v>
      </c>
      <c r="F2180" s="287" t="s">
        <v>3559</v>
      </c>
      <c r="G2180" s="288" t="s">
        <v>3569</v>
      </c>
    </row>
    <row r="2181" spans="1:7" x14ac:dyDescent="0.2">
      <c r="A2181" s="944">
        <v>39113021502</v>
      </c>
      <c r="B2181" s="239" t="s">
        <v>2187</v>
      </c>
      <c r="C2181" s="286" t="s">
        <v>2975</v>
      </c>
      <c r="D2181" s="865" t="s">
        <v>2975</v>
      </c>
      <c r="E2181" s="287" t="s">
        <v>3566</v>
      </c>
      <c r="F2181" s="287" t="s">
        <v>3565</v>
      </c>
      <c r="G2181" s="288" t="s">
        <v>3569</v>
      </c>
    </row>
    <row r="2182" spans="1:7" x14ac:dyDescent="0.2">
      <c r="A2182" s="944">
        <v>39113021601</v>
      </c>
      <c r="B2182" s="239" t="s">
        <v>2188</v>
      </c>
      <c r="C2182" s="286" t="s">
        <v>2975</v>
      </c>
      <c r="D2182" s="865" t="s">
        <v>2975</v>
      </c>
      <c r="E2182" s="287" t="s">
        <v>3563</v>
      </c>
      <c r="F2182" s="287" t="s">
        <v>5176</v>
      </c>
      <c r="G2182" s="288" t="s">
        <v>3569</v>
      </c>
    </row>
    <row r="2183" spans="1:7" x14ac:dyDescent="0.2">
      <c r="A2183" s="944">
        <v>39113021602</v>
      </c>
      <c r="B2183" s="239" t="s">
        <v>2189</v>
      </c>
      <c r="C2183" s="286" t="s">
        <v>2975</v>
      </c>
      <c r="D2183" s="865" t="s">
        <v>2975</v>
      </c>
      <c r="E2183" s="287" t="s">
        <v>3563</v>
      </c>
      <c r="F2183" s="287" t="s">
        <v>3559</v>
      </c>
      <c r="G2183" s="288" t="s">
        <v>3569</v>
      </c>
    </row>
    <row r="2184" spans="1:7" x14ac:dyDescent="0.2">
      <c r="A2184" s="944">
        <v>39113021700</v>
      </c>
      <c r="B2184" s="239" t="s">
        <v>2190</v>
      </c>
      <c r="C2184" s="286" t="s">
        <v>2975</v>
      </c>
      <c r="D2184" s="865" t="s">
        <v>2975</v>
      </c>
      <c r="E2184" s="287" t="s">
        <v>3563</v>
      </c>
      <c r="F2184" s="287" t="s">
        <v>3565</v>
      </c>
      <c r="G2184" s="288" t="s">
        <v>3569</v>
      </c>
    </row>
    <row r="2185" spans="1:7" x14ac:dyDescent="0.2">
      <c r="A2185" s="944">
        <v>39113021800</v>
      </c>
      <c r="B2185" s="239" t="s">
        <v>2191</v>
      </c>
      <c r="C2185" s="286" t="s">
        <v>4330</v>
      </c>
      <c r="D2185" s="865" t="s">
        <v>4330</v>
      </c>
      <c r="E2185" s="287" t="s">
        <v>3563</v>
      </c>
      <c r="F2185" s="287" t="s">
        <v>3559</v>
      </c>
      <c r="G2185" s="288" t="s">
        <v>3569</v>
      </c>
    </row>
    <row r="2186" spans="1:7" x14ac:dyDescent="0.2">
      <c r="A2186" s="944">
        <v>39113021900</v>
      </c>
      <c r="B2186" s="239" t="s">
        <v>2192</v>
      </c>
      <c r="C2186" s="286" t="s">
        <v>2975</v>
      </c>
      <c r="D2186" s="865" t="s">
        <v>2975</v>
      </c>
      <c r="E2186" s="287" t="s">
        <v>3563</v>
      </c>
      <c r="F2186" s="287" t="s">
        <v>3558</v>
      </c>
      <c r="G2186" s="288" t="s">
        <v>3569</v>
      </c>
    </row>
    <row r="2187" spans="1:7" x14ac:dyDescent="0.2">
      <c r="A2187" s="944">
        <v>39113030100</v>
      </c>
      <c r="B2187" s="239" t="s">
        <v>2193</v>
      </c>
      <c r="C2187" s="286" t="s">
        <v>2975</v>
      </c>
      <c r="D2187" s="865" t="s">
        <v>2975</v>
      </c>
      <c r="E2187" s="287" t="s">
        <v>3564</v>
      </c>
      <c r="F2187" s="287" t="s">
        <v>5177</v>
      </c>
      <c r="G2187" s="288" t="s">
        <v>3569</v>
      </c>
    </row>
    <row r="2188" spans="1:7" x14ac:dyDescent="0.2">
      <c r="A2188" s="944">
        <v>39113030200</v>
      </c>
      <c r="B2188" s="239" t="s">
        <v>2194</v>
      </c>
      <c r="C2188" s="286" t="s">
        <v>2975</v>
      </c>
      <c r="D2188" s="865" t="s">
        <v>2975</v>
      </c>
      <c r="E2188" s="287" t="s">
        <v>3557</v>
      </c>
      <c r="F2188" s="287" t="s">
        <v>3558</v>
      </c>
      <c r="G2188" s="288" t="s">
        <v>3569</v>
      </c>
    </row>
    <row r="2189" spans="1:7" x14ac:dyDescent="0.2">
      <c r="A2189" s="944">
        <v>39113040101</v>
      </c>
      <c r="B2189" s="239" t="s">
        <v>2195</v>
      </c>
      <c r="C2189" s="286" t="s">
        <v>2975</v>
      </c>
      <c r="D2189" s="865" t="s">
        <v>2975</v>
      </c>
      <c r="E2189" s="287" t="s">
        <v>3562</v>
      </c>
      <c r="F2189" s="287" t="s">
        <v>3565</v>
      </c>
      <c r="G2189" s="288" t="s">
        <v>3569</v>
      </c>
    </row>
    <row r="2190" spans="1:7" x14ac:dyDescent="0.2">
      <c r="A2190" s="944">
        <v>39113040102</v>
      </c>
      <c r="B2190" s="239" t="s">
        <v>2196</v>
      </c>
      <c r="C2190" s="286" t="s">
        <v>2975</v>
      </c>
      <c r="D2190" s="865" t="s">
        <v>2975</v>
      </c>
      <c r="E2190" s="287" t="s">
        <v>3562</v>
      </c>
      <c r="F2190" s="287" t="s">
        <v>3559</v>
      </c>
      <c r="G2190" s="288" t="s">
        <v>3569</v>
      </c>
    </row>
    <row r="2191" spans="1:7" x14ac:dyDescent="0.2">
      <c r="A2191" s="944">
        <v>39113040103</v>
      </c>
      <c r="B2191" s="239" t="s">
        <v>2197</v>
      </c>
      <c r="C2191" s="286" t="s">
        <v>2975</v>
      </c>
      <c r="D2191" s="865" t="s">
        <v>2975</v>
      </c>
      <c r="E2191" s="287" t="s">
        <v>3562</v>
      </c>
      <c r="F2191" s="287" t="s">
        <v>3558</v>
      </c>
      <c r="G2191" s="288" t="s">
        <v>3569</v>
      </c>
    </row>
    <row r="2192" spans="1:7" x14ac:dyDescent="0.2">
      <c r="A2192" s="944">
        <v>39113040201</v>
      </c>
      <c r="B2192" s="239" t="s">
        <v>2198</v>
      </c>
      <c r="C2192" s="286" t="s">
        <v>2975</v>
      </c>
      <c r="D2192" s="865" t="s">
        <v>2975</v>
      </c>
      <c r="E2192" s="287" t="s">
        <v>3562</v>
      </c>
      <c r="F2192" s="287" t="s">
        <v>3559</v>
      </c>
      <c r="G2192" s="288" t="s">
        <v>3569</v>
      </c>
    </row>
    <row r="2193" spans="1:7" x14ac:dyDescent="0.2">
      <c r="A2193" s="944">
        <v>39113040203</v>
      </c>
      <c r="B2193" s="239" t="s">
        <v>2199</v>
      </c>
      <c r="C2193" s="286" t="s">
        <v>2975</v>
      </c>
      <c r="D2193" s="865" t="s">
        <v>2975</v>
      </c>
      <c r="E2193" s="287" t="s">
        <v>3562</v>
      </c>
      <c r="F2193" s="287" t="s">
        <v>3565</v>
      </c>
      <c r="G2193" s="288" t="s">
        <v>3569</v>
      </c>
    </row>
    <row r="2194" spans="1:7" x14ac:dyDescent="0.2">
      <c r="A2194" s="944">
        <v>39113040204</v>
      </c>
      <c r="B2194" s="239" t="s">
        <v>2200</v>
      </c>
      <c r="C2194" s="286" t="s">
        <v>2975</v>
      </c>
      <c r="D2194" s="865" t="s">
        <v>2975</v>
      </c>
      <c r="E2194" s="287" t="s">
        <v>3562</v>
      </c>
      <c r="F2194" s="287" t="s">
        <v>5177</v>
      </c>
      <c r="G2194" s="288" t="s">
        <v>3569</v>
      </c>
    </row>
    <row r="2195" spans="1:7" x14ac:dyDescent="0.2">
      <c r="A2195" s="944">
        <v>39113040302</v>
      </c>
      <c r="B2195" s="239" t="s">
        <v>2201</v>
      </c>
      <c r="C2195" s="286" t="s">
        <v>2975</v>
      </c>
      <c r="D2195" s="865" t="s">
        <v>2975</v>
      </c>
      <c r="E2195" s="287" t="s">
        <v>3562</v>
      </c>
      <c r="F2195" s="287" t="s">
        <v>5177</v>
      </c>
      <c r="G2195" s="288" t="s">
        <v>3569</v>
      </c>
    </row>
    <row r="2196" spans="1:7" x14ac:dyDescent="0.2">
      <c r="A2196" s="944">
        <v>39113040303</v>
      </c>
      <c r="B2196" s="239" t="s">
        <v>2202</v>
      </c>
      <c r="C2196" s="286" t="s">
        <v>2975</v>
      </c>
      <c r="D2196" s="865" t="s">
        <v>2975</v>
      </c>
      <c r="E2196" s="287" t="s">
        <v>3562</v>
      </c>
      <c r="F2196" s="287" t="s">
        <v>3559</v>
      </c>
      <c r="G2196" s="288" t="s">
        <v>3569</v>
      </c>
    </row>
    <row r="2197" spans="1:7" x14ac:dyDescent="0.2">
      <c r="A2197" s="944">
        <v>39113040305</v>
      </c>
      <c r="B2197" s="239" t="s">
        <v>2203</v>
      </c>
      <c r="C2197" s="286" t="s">
        <v>2975</v>
      </c>
      <c r="D2197" s="865" t="s">
        <v>2975</v>
      </c>
      <c r="E2197" s="287" t="s">
        <v>3562</v>
      </c>
      <c r="F2197" s="287" t="s">
        <v>3559</v>
      </c>
      <c r="G2197" s="288" t="s">
        <v>3569</v>
      </c>
    </row>
    <row r="2198" spans="1:7" x14ac:dyDescent="0.2">
      <c r="A2198" s="944">
        <v>39113040306</v>
      </c>
      <c r="B2198" s="239" t="s">
        <v>2204</v>
      </c>
      <c r="C2198" s="286" t="s">
        <v>2975</v>
      </c>
      <c r="D2198" s="865" t="s">
        <v>2975</v>
      </c>
      <c r="E2198" s="287" t="s">
        <v>3563</v>
      </c>
      <c r="F2198" s="287" t="s">
        <v>3565</v>
      </c>
      <c r="G2198" s="288" t="s">
        <v>3569</v>
      </c>
    </row>
    <row r="2199" spans="1:7" x14ac:dyDescent="0.2">
      <c r="A2199" s="944">
        <v>39113040401</v>
      </c>
      <c r="B2199" s="239" t="s">
        <v>2205</v>
      </c>
      <c r="C2199" s="286" t="s">
        <v>2975</v>
      </c>
      <c r="D2199" s="865" t="s">
        <v>2975</v>
      </c>
      <c r="E2199" s="287" t="s">
        <v>3562</v>
      </c>
      <c r="F2199" s="287" t="s">
        <v>3558</v>
      </c>
      <c r="G2199" s="288" t="s">
        <v>3569</v>
      </c>
    </row>
    <row r="2200" spans="1:7" x14ac:dyDescent="0.2">
      <c r="A2200" s="944">
        <v>39113040403</v>
      </c>
      <c r="B2200" s="239" t="s">
        <v>2206</v>
      </c>
      <c r="C2200" s="286" t="s">
        <v>2975</v>
      </c>
      <c r="D2200" s="865" t="s">
        <v>2975</v>
      </c>
      <c r="E2200" s="287" t="s">
        <v>3562</v>
      </c>
      <c r="F2200" s="287" t="s">
        <v>5177</v>
      </c>
      <c r="G2200" s="288" t="s">
        <v>3569</v>
      </c>
    </row>
    <row r="2201" spans="1:7" x14ac:dyDescent="0.2">
      <c r="A2201" s="944">
        <v>39113040405</v>
      </c>
      <c r="B2201" s="239" t="s">
        <v>2207</v>
      </c>
      <c r="C2201" s="286" t="s">
        <v>2975</v>
      </c>
      <c r="D2201" s="865" t="s">
        <v>2975</v>
      </c>
      <c r="E2201" s="287" t="s">
        <v>3562</v>
      </c>
      <c r="F2201" s="287" t="s">
        <v>3558</v>
      </c>
      <c r="G2201" s="288" t="s">
        <v>3569</v>
      </c>
    </row>
    <row r="2202" spans="1:7" x14ac:dyDescent="0.2">
      <c r="A2202" s="944">
        <v>39113040406</v>
      </c>
      <c r="B2202" s="239" t="s">
        <v>2208</v>
      </c>
      <c r="C2202" s="286" t="s">
        <v>2975</v>
      </c>
      <c r="D2202" s="865" t="s">
        <v>2975</v>
      </c>
      <c r="E2202" s="287" t="s">
        <v>3562</v>
      </c>
      <c r="F2202" s="287" t="s">
        <v>3558</v>
      </c>
      <c r="G2202" s="288" t="s">
        <v>3569</v>
      </c>
    </row>
    <row r="2203" spans="1:7" x14ac:dyDescent="0.2">
      <c r="A2203" s="944">
        <v>39113050101</v>
      </c>
      <c r="B2203" s="239" t="s">
        <v>2209</v>
      </c>
      <c r="C2203" s="286" t="s">
        <v>2975</v>
      </c>
      <c r="D2203" s="865" t="s">
        <v>2975</v>
      </c>
      <c r="E2203" s="287" t="s">
        <v>3564</v>
      </c>
      <c r="F2203" s="287" t="s">
        <v>3565</v>
      </c>
      <c r="G2203" s="288" t="s">
        <v>3569</v>
      </c>
    </row>
    <row r="2204" spans="1:7" x14ac:dyDescent="0.2">
      <c r="A2204" s="944">
        <v>39113050103</v>
      </c>
      <c r="B2204" s="239" t="s">
        <v>2210</v>
      </c>
      <c r="C2204" s="286" t="s">
        <v>2975</v>
      </c>
      <c r="D2204" s="865" t="s">
        <v>2975</v>
      </c>
      <c r="E2204" s="287" t="s">
        <v>3563</v>
      </c>
      <c r="F2204" s="287" t="s">
        <v>3559</v>
      </c>
      <c r="G2204" s="288" t="s">
        <v>3569</v>
      </c>
    </row>
    <row r="2205" spans="1:7" x14ac:dyDescent="0.2">
      <c r="A2205" s="944">
        <v>39113050104</v>
      </c>
      <c r="B2205" s="239" t="s">
        <v>2211</v>
      </c>
      <c r="C2205" s="286" t="s">
        <v>2975</v>
      </c>
      <c r="D2205" s="865" t="s">
        <v>2975</v>
      </c>
      <c r="E2205" s="287" t="s">
        <v>3563</v>
      </c>
      <c r="F2205" s="287" t="s">
        <v>5177</v>
      </c>
      <c r="G2205" s="288" t="s">
        <v>3569</v>
      </c>
    </row>
    <row r="2206" spans="1:7" x14ac:dyDescent="0.2">
      <c r="A2206" s="944">
        <v>39113050105</v>
      </c>
      <c r="B2206" s="239" t="s">
        <v>2212</v>
      </c>
      <c r="C2206" s="286" t="s">
        <v>2975</v>
      </c>
      <c r="D2206" s="865" t="s">
        <v>2975</v>
      </c>
      <c r="E2206" s="287" t="s">
        <v>3563</v>
      </c>
      <c r="F2206" s="287" t="s">
        <v>3565</v>
      </c>
      <c r="G2206" s="288" t="s">
        <v>3569</v>
      </c>
    </row>
    <row r="2207" spans="1:7" x14ac:dyDescent="0.2">
      <c r="A2207" s="944">
        <v>39113050301</v>
      </c>
      <c r="B2207" s="239" t="s">
        <v>2213</v>
      </c>
      <c r="C2207" s="286" t="s">
        <v>2975</v>
      </c>
      <c r="D2207" s="865" t="s">
        <v>2975</v>
      </c>
      <c r="E2207" s="287" t="s">
        <v>3557</v>
      </c>
      <c r="F2207" s="287" t="s">
        <v>3559</v>
      </c>
      <c r="G2207" s="288" t="s">
        <v>3569</v>
      </c>
    </row>
    <row r="2208" spans="1:7" x14ac:dyDescent="0.2">
      <c r="A2208" s="944">
        <v>39113050302</v>
      </c>
      <c r="B2208" s="239" t="s">
        <v>2214</v>
      </c>
      <c r="C2208" s="286" t="s">
        <v>2975</v>
      </c>
      <c r="D2208" s="865" t="s">
        <v>2975</v>
      </c>
      <c r="E2208" s="287" t="s">
        <v>3564</v>
      </c>
      <c r="F2208" s="287" t="s">
        <v>3565</v>
      </c>
      <c r="G2208" s="288" t="s">
        <v>3569</v>
      </c>
    </row>
    <row r="2209" spans="1:7" x14ac:dyDescent="0.2">
      <c r="A2209" s="944">
        <v>39113050303</v>
      </c>
      <c r="B2209" s="239" t="s">
        <v>2215</v>
      </c>
      <c r="C2209" s="286" t="s">
        <v>4330</v>
      </c>
      <c r="D2209" s="865" t="s">
        <v>4330</v>
      </c>
      <c r="E2209" s="287" t="s">
        <v>3564</v>
      </c>
      <c r="F2209" s="287" t="s">
        <v>3559</v>
      </c>
      <c r="G2209" s="288" t="s">
        <v>3569</v>
      </c>
    </row>
    <row r="2210" spans="1:7" x14ac:dyDescent="0.2">
      <c r="A2210" s="944">
        <v>39113050401</v>
      </c>
      <c r="B2210" s="239" t="s">
        <v>2216</v>
      </c>
      <c r="C2210" s="286" t="s">
        <v>2975</v>
      </c>
      <c r="D2210" s="865" t="s">
        <v>2975</v>
      </c>
      <c r="E2210" s="287" t="s">
        <v>3566</v>
      </c>
      <c r="F2210" s="287" t="s">
        <v>3559</v>
      </c>
      <c r="G2210" s="288" t="s">
        <v>3569</v>
      </c>
    </row>
    <row r="2211" spans="1:7" x14ac:dyDescent="0.2">
      <c r="A2211" s="944">
        <v>39113050402</v>
      </c>
      <c r="B2211" s="239" t="s">
        <v>2217</v>
      </c>
      <c r="C2211" s="286" t="s">
        <v>2975</v>
      </c>
      <c r="D2211" s="865" t="s">
        <v>2975</v>
      </c>
      <c r="E2211" s="287" t="s">
        <v>3557</v>
      </c>
      <c r="F2211" s="287" t="s">
        <v>3559</v>
      </c>
      <c r="G2211" s="288" t="s">
        <v>3569</v>
      </c>
    </row>
    <row r="2212" spans="1:7" x14ac:dyDescent="0.2">
      <c r="A2212" s="944">
        <v>39113050502</v>
      </c>
      <c r="B2212" s="239" t="s">
        <v>2218</v>
      </c>
      <c r="C2212" s="286" t="s">
        <v>2975</v>
      </c>
      <c r="D2212" s="865" t="s">
        <v>2975</v>
      </c>
      <c r="E2212" s="287" t="s">
        <v>3564</v>
      </c>
      <c r="F2212" s="287" t="s">
        <v>5177</v>
      </c>
      <c r="G2212" s="288" t="s">
        <v>3569</v>
      </c>
    </row>
    <row r="2213" spans="1:7" x14ac:dyDescent="0.2">
      <c r="A2213" s="944">
        <v>39113050503</v>
      </c>
      <c r="B2213" s="239" t="s">
        <v>2219</v>
      </c>
      <c r="C2213" s="286" t="s">
        <v>2975</v>
      </c>
      <c r="D2213" s="865" t="s">
        <v>2975</v>
      </c>
      <c r="E2213" s="287" t="s">
        <v>3566</v>
      </c>
      <c r="F2213" s="287" t="s">
        <v>3565</v>
      </c>
      <c r="G2213" s="288" t="s">
        <v>3569</v>
      </c>
    </row>
    <row r="2214" spans="1:7" x14ac:dyDescent="0.2">
      <c r="A2214" s="944">
        <v>39113050504</v>
      </c>
      <c r="B2214" s="239" t="s">
        <v>2220</v>
      </c>
      <c r="C2214" s="286" t="s">
        <v>2975</v>
      </c>
      <c r="D2214" s="865" t="s">
        <v>2975</v>
      </c>
      <c r="E2214" s="287" t="s">
        <v>3566</v>
      </c>
      <c r="F2214" s="287" t="s">
        <v>3558</v>
      </c>
      <c r="G2214" s="288" t="s">
        <v>3569</v>
      </c>
    </row>
    <row r="2215" spans="1:7" x14ac:dyDescent="0.2">
      <c r="A2215" s="944">
        <v>39113050600</v>
      </c>
      <c r="B2215" s="239" t="s">
        <v>2221</v>
      </c>
      <c r="C2215" s="286" t="s">
        <v>2975</v>
      </c>
      <c r="D2215" s="865" t="s">
        <v>2975</v>
      </c>
      <c r="E2215" s="287" t="s">
        <v>3564</v>
      </c>
      <c r="F2215" s="287" t="s">
        <v>3559</v>
      </c>
      <c r="G2215" s="288" t="s">
        <v>3569</v>
      </c>
    </row>
    <row r="2216" spans="1:7" x14ac:dyDescent="0.2">
      <c r="A2216" s="944">
        <v>39113060100</v>
      </c>
      <c r="B2216" s="239" t="s">
        <v>2222</v>
      </c>
      <c r="C2216" s="286" t="s">
        <v>2975</v>
      </c>
      <c r="D2216" s="865" t="s">
        <v>2975</v>
      </c>
      <c r="E2216" s="287" t="s">
        <v>3557</v>
      </c>
      <c r="F2216" s="287" t="s">
        <v>3558</v>
      </c>
      <c r="G2216" s="288" t="s">
        <v>3568</v>
      </c>
    </row>
    <row r="2217" spans="1:7" x14ac:dyDescent="0.2">
      <c r="A2217" s="944">
        <v>39113060200</v>
      </c>
      <c r="B2217" s="239" t="s">
        <v>2223</v>
      </c>
      <c r="C2217" s="286" t="s">
        <v>4330</v>
      </c>
      <c r="D2217" s="865" t="s">
        <v>2975</v>
      </c>
      <c r="E2217" s="287" t="s">
        <v>3557</v>
      </c>
      <c r="F2217" s="287" t="s">
        <v>3558</v>
      </c>
      <c r="G2217" s="288" t="s">
        <v>3569</v>
      </c>
    </row>
    <row r="2218" spans="1:7" x14ac:dyDescent="0.2">
      <c r="A2218" s="944">
        <v>39113060300</v>
      </c>
      <c r="B2218" s="239" t="s">
        <v>2224</v>
      </c>
      <c r="C2218" s="286" t="s">
        <v>4330</v>
      </c>
      <c r="D2218" s="865" t="s">
        <v>2975</v>
      </c>
      <c r="E2218" s="287" t="s">
        <v>3557</v>
      </c>
      <c r="F2218" s="287" t="s">
        <v>3565</v>
      </c>
      <c r="G2218" s="288" t="s">
        <v>3569</v>
      </c>
    </row>
    <row r="2219" spans="1:7" x14ac:dyDescent="0.2">
      <c r="A2219" s="944">
        <v>39113070101</v>
      </c>
      <c r="B2219" s="239" t="s">
        <v>2225</v>
      </c>
      <c r="C2219" s="286" t="s">
        <v>4330</v>
      </c>
      <c r="D2219" s="865" t="s">
        <v>4330</v>
      </c>
      <c r="E2219" s="287" t="s">
        <v>3557</v>
      </c>
      <c r="F2219" s="287" t="s">
        <v>5176</v>
      </c>
      <c r="G2219" s="288" t="s">
        <v>3569</v>
      </c>
    </row>
    <row r="2220" spans="1:7" x14ac:dyDescent="0.2">
      <c r="A2220" s="944">
        <v>39113070102</v>
      </c>
      <c r="B2220" s="239" t="s">
        <v>2226</v>
      </c>
      <c r="C2220" s="286" t="s">
        <v>2975</v>
      </c>
      <c r="D2220" s="865" t="s">
        <v>2975</v>
      </c>
      <c r="E2220" s="287" t="s">
        <v>3557</v>
      </c>
      <c r="F2220" s="287" t="s">
        <v>5176</v>
      </c>
      <c r="G2220" s="288" t="s">
        <v>3569</v>
      </c>
    </row>
    <row r="2221" spans="1:7" x14ac:dyDescent="0.2">
      <c r="A2221" s="944">
        <v>39113070201</v>
      </c>
      <c r="B2221" s="239" t="s">
        <v>2227</v>
      </c>
      <c r="C2221" s="286" t="s">
        <v>4330</v>
      </c>
      <c r="D2221" s="865" t="s">
        <v>4330</v>
      </c>
      <c r="E2221" s="287" t="s">
        <v>3557</v>
      </c>
      <c r="F2221" s="287" t="s">
        <v>3558</v>
      </c>
      <c r="G2221" s="288" t="s">
        <v>3569</v>
      </c>
    </row>
    <row r="2222" spans="1:7" x14ac:dyDescent="0.2">
      <c r="A2222" s="944">
        <v>39113070202</v>
      </c>
      <c r="B2222" s="239" t="s">
        <v>2228</v>
      </c>
      <c r="C2222" s="286" t="s">
        <v>4330</v>
      </c>
      <c r="D2222" s="865" t="s">
        <v>4330</v>
      </c>
      <c r="E2222" s="287" t="s">
        <v>3557</v>
      </c>
      <c r="F2222" s="287" t="s">
        <v>5176</v>
      </c>
      <c r="G2222" s="288" t="s">
        <v>3569</v>
      </c>
    </row>
    <row r="2223" spans="1:7" x14ac:dyDescent="0.2">
      <c r="A2223" s="944">
        <v>39113070300</v>
      </c>
      <c r="B2223" s="239" t="s">
        <v>2229</v>
      </c>
      <c r="C2223" s="286" t="s">
        <v>4330</v>
      </c>
      <c r="D2223" s="865" t="s">
        <v>4330</v>
      </c>
      <c r="E2223" s="287" t="s">
        <v>3557</v>
      </c>
      <c r="F2223" s="287" t="s">
        <v>3559</v>
      </c>
      <c r="G2223" s="288" t="s">
        <v>3569</v>
      </c>
    </row>
    <row r="2224" spans="1:7" x14ac:dyDescent="0.2">
      <c r="A2224" s="944">
        <v>39113070400</v>
      </c>
      <c r="B2224" s="239" t="s">
        <v>2230</v>
      </c>
      <c r="C2224" s="286" t="s">
        <v>4330</v>
      </c>
      <c r="D2224" s="865" t="s">
        <v>2975</v>
      </c>
      <c r="E2224" s="287" t="s">
        <v>3557</v>
      </c>
      <c r="F2224" s="287" t="s">
        <v>5176</v>
      </c>
      <c r="G2224" s="288" t="s">
        <v>3569</v>
      </c>
    </row>
    <row r="2225" spans="1:7" x14ac:dyDescent="0.2">
      <c r="A2225" s="944">
        <v>39113070500</v>
      </c>
      <c r="B2225" s="239" t="s">
        <v>2231</v>
      </c>
      <c r="C2225" s="286" t="s">
        <v>2975</v>
      </c>
      <c r="D2225" s="865" t="s">
        <v>2975</v>
      </c>
      <c r="E2225" s="287" t="s">
        <v>3557</v>
      </c>
      <c r="F2225" s="287" t="s">
        <v>5176</v>
      </c>
      <c r="G2225" s="288" t="s">
        <v>3569</v>
      </c>
    </row>
    <row r="2226" spans="1:7" x14ac:dyDescent="0.2">
      <c r="A2226" s="944">
        <v>39113070600</v>
      </c>
      <c r="B2226" s="239" t="s">
        <v>2232</v>
      </c>
      <c r="C2226" s="286" t="s">
        <v>2975</v>
      </c>
      <c r="D2226" s="865" t="s">
        <v>2975</v>
      </c>
      <c r="E2226" s="287" t="s">
        <v>3564</v>
      </c>
      <c r="F2226" s="287" t="s">
        <v>5176</v>
      </c>
      <c r="G2226" s="288" t="s">
        <v>3569</v>
      </c>
    </row>
    <row r="2227" spans="1:7" x14ac:dyDescent="0.2">
      <c r="A2227" s="944">
        <v>39113070700</v>
      </c>
      <c r="B2227" s="239" t="s">
        <v>2233</v>
      </c>
      <c r="C2227" s="286" t="s">
        <v>2975</v>
      </c>
      <c r="D2227" s="865" t="s">
        <v>4330</v>
      </c>
      <c r="E2227" s="287" t="s">
        <v>3557</v>
      </c>
      <c r="F2227" s="287" t="s">
        <v>5177</v>
      </c>
      <c r="G2227" s="288" t="s">
        <v>3569</v>
      </c>
    </row>
    <row r="2228" spans="1:7" x14ac:dyDescent="0.2">
      <c r="A2228" s="944">
        <v>39113080100</v>
      </c>
      <c r="B2228" s="239" t="s">
        <v>2234</v>
      </c>
      <c r="C2228" s="286" t="s">
        <v>2975</v>
      </c>
      <c r="D2228" s="865" t="s">
        <v>4330</v>
      </c>
      <c r="E2228" s="287" t="s">
        <v>3557</v>
      </c>
      <c r="F2228" s="287" t="s">
        <v>3559</v>
      </c>
      <c r="G2228" s="288" t="s">
        <v>3569</v>
      </c>
    </row>
    <row r="2229" spans="1:7" x14ac:dyDescent="0.2">
      <c r="A2229" s="944">
        <v>39113080200</v>
      </c>
      <c r="B2229" s="239" t="s">
        <v>2235</v>
      </c>
      <c r="C2229" s="286" t="s">
        <v>2975</v>
      </c>
      <c r="D2229" s="865" t="s">
        <v>2975</v>
      </c>
      <c r="E2229" s="287" t="s">
        <v>3557</v>
      </c>
      <c r="F2229" s="287" t="s">
        <v>5176</v>
      </c>
      <c r="G2229" s="288" t="s">
        <v>3569</v>
      </c>
    </row>
    <row r="2230" spans="1:7" x14ac:dyDescent="0.2">
      <c r="A2230" s="944">
        <v>39113080300</v>
      </c>
      <c r="B2230" s="239" t="s">
        <v>2236</v>
      </c>
      <c r="C2230" s="286" t="s">
        <v>2975</v>
      </c>
      <c r="D2230" s="865" t="s">
        <v>2975</v>
      </c>
      <c r="E2230" s="287" t="s">
        <v>3557</v>
      </c>
      <c r="F2230" s="287" t="s">
        <v>5176</v>
      </c>
      <c r="G2230" s="288" t="s">
        <v>3569</v>
      </c>
    </row>
    <row r="2231" spans="1:7" x14ac:dyDescent="0.2">
      <c r="A2231" s="944">
        <v>39113080400</v>
      </c>
      <c r="B2231" s="239" t="s">
        <v>2237</v>
      </c>
      <c r="C2231" s="286" t="s">
        <v>4330</v>
      </c>
      <c r="D2231" s="865" t="s">
        <v>4330</v>
      </c>
      <c r="E2231" s="287" t="s">
        <v>3557</v>
      </c>
      <c r="F2231" s="287" t="s">
        <v>3559</v>
      </c>
      <c r="G2231" s="288" t="s">
        <v>3569</v>
      </c>
    </row>
    <row r="2232" spans="1:7" x14ac:dyDescent="0.2">
      <c r="A2232" s="944">
        <v>39113080500</v>
      </c>
      <c r="B2232" s="239" t="s">
        <v>2238</v>
      </c>
      <c r="C2232" s="286" t="s">
        <v>4330</v>
      </c>
      <c r="D2232" s="865" t="s">
        <v>4330</v>
      </c>
      <c r="E2232" s="287" t="s">
        <v>3557</v>
      </c>
      <c r="F2232" s="287" t="s">
        <v>3565</v>
      </c>
      <c r="G2232" s="288" t="s">
        <v>3569</v>
      </c>
    </row>
    <row r="2233" spans="1:7" x14ac:dyDescent="0.2">
      <c r="A2233" s="944">
        <v>39113080600</v>
      </c>
      <c r="B2233" s="239" t="s">
        <v>2239</v>
      </c>
      <c r="C2233" s="286" t="s">
        <v>4330</v>
      </c>
      <c r="D2233" s="865" t="s">
        <v>2975</v>
      </c>
      <c r="E2233" s="287" t="s">
        <v>3557</v>
      </c>
      <c r="F2233" s="287" t="s">
        <v>3565</v>
      </c>
      <c r="G2233" s="288" t="s">
        <v>3569</v>
      </c>
    </row>
    <row r="2234" spans="1:7" x14ac:dyDescent="0.2">
      <c r="A2234" s="944">
        <v>39113080700</v>
      </c>
      <c r="B2234" s="239" t="s">
        <v>2240</v>
      </c>
      <c r="C2234" s="286" t="s">
        <v>4330</v>
      </c>
      <c r="D2234" s="865" t="s">
        <v>4330</v>
      </c>
      <c r="E2234" s="287" t="s">
        <v>3564</v>
      </c>
      <c r="F2234" s="287" t="s">
        <v>5176</v>
      </c>
      <c r="G2234" s="288" t="s">
        <v>3569</v>
      </c>
    </row>
    <row r="2235" spans="1:7" x14ac:dyDescent="0.2">
      <c r="A2235" s="944">
        <v>39113090302</v>
      </c>
      <c r="B2235" s="239" t="s">
        <v>2241</v>
      </c>
      <c r="C2235" s="286" t="s">
        <v>2975</v>
      </c>
      <c r="D2235" s="865" t="s">
        <v>2975</v>
      </c>
      <c r="E2235" s="287" t="s">
        <v>3557</v>
      </c>
      <c r="F2235" s="287" t="s">
        <v>3558</v>
      </c>
      <c r="G2235" s="288" t="s">
        <v>3569</v>
      </c>
    </row>
    <row r="2236" spans="1:7" x14ac:dyDescent="0.2">
      <c r="A2236" s="944">
        <v>39113090303</v>
      </c>
      <c r="B2236" s="239" t="s">
        <v>2242</v>
      </c>
      <c r="C2236" s="286" t="s">
        <v>2975</v>
      </c>
      <c r="D2236" s="865" t="s">
        <v>2975</v>
      </c>
      <c r="E2236" s="287" t="s">
        <v>3563</v>
      </c>
      <c r="F2236" s="287" t="s">
        <v>3558</v>
      </c>
      <c r="G2236" s="288" t="s">
        <v>3569</v>
      </c>
    </row>
    <row r="2237" spans="1:7" x14ac:dyDescent="0.2">
      <c r="A2237" s="944">
        <v>39113090304</v>
      </c>
      <c r="B2237" s="239" t="s">
        <v>2243</v>
      </c>
      <c r="C2237" s="286" t="s">
        <v>2975</v>
      </c>
      <c r="D2237" s="865" t="s">
        <v>2975</v>
      </c>
      <c r="E2237" s="287" t="s">
        <v>3566</v>
      </c>
      <c r="F2237" s="287" t="s">
        <v>5177</v>
      </c>
      <c r="G2237" s="288" t="s">
        <v>3569</v>
      </c>
    </row>
    <row r="2238" spans="1:7" x14ac:dyDescent="0.2">
      <c r="A2238" s="944">
        <v>39113090600</v>
      </c>
      <c r="B2238" s="239" t="s">
        <v>2244</v>
      </c>
      <c r="C2238" s="286" t="s">
        <v>4330</v>
      </c>
      <c r="D2238" s="865" t="s">
        <v>4330</v>
      </c>
      <c r="E2238" s="287" t="s">
        <v>3557</v>
      </c>
      <c r="F2238" s="287" t="s">
        <v>3558</v>
      </c>
      <c r="G2238" s="288" t="s">
        <v>3569</v>
      </c>
    </row>
    <row r="2239" spans="1:7" x14ac:dyDescent="0.2">
      <c r="A2239" s="944">
        <v>39113090700</v>
      </c>
      <c r="B2239" s="239" t="s">
        <v>2245</v>
      </c>
      <c r="C2239" s="286" t="s">
        <v>2975</v>
      </c>
      <c r="D2239" s="865" t="s">
        <v>2975</v>
      </c>
      <c r="E2239" s="287" t="s">
        <v>3566</v>
      </c>
      <c r="F2239" s="287" t="s">
        <v>5176</v>
      </c>
      <c r="G2239" s="288" t="s">
        <v>3569</v>
      </c>
    </row>
    <row r="2240" spans="1:7" x14ac:dyDescent="0.2">
      <c r="A2240" s="944">
        <v>39113090800</v>
      </c>
      <c r="B2240" s="239" t="s">
        <v>2246</v>
      </c>
      <c r="C2240" s="286" t="s">
        <v>2975</v>
      </c>
      <c r="D2240" s="865" t="s">
        <v>2975</v>
      </c>
      <c r="E2240" s="287" t="s">
        <v>3566</v>
      </c>
      <c r="F2240" s="287" t="s">
        <v>5176</v>
      </c>
      <c r="G2240" s="288" t="s">
        <v>3569</v>
      </c>
    </row>
    <row r="2241" spans="1:7" x14ac:dyDescent="0.2">
      <c r="A2241" s="944">
        <v>39113090900</v>
      </c>
      <c r="B2241" s="239" t="s">
        <v>2247</v>
      </c>
      <c r="C2241" s="286" t="s">
        <v>2975</v>
      </c>
      <c r="D2241" s="865" t="s">
        <v>2975</v>
      </c>
      <c r="E2241" s="287" t="s">
        <v>3566</v>
      </c>
      <c r="F2241" s="287" t="s">
        <v>5177</v>
      </c>
      <c r="G2241" s="288" t="s">
        <v>3569</v>
      </c>
    </row>
    <row r="2242" spans="1:7" x14ac:dyDescent="0.2">
      <c r="A2242" s="944">
        <v>39113091000</v>
      </c>
      <c r="B2242" s="239" t="s">
        <v>2248</v>
      </c>
      <c r="C2242" s="286" t="s">
        <v>2975</v>
      </c>
      <c r="D2242" s="865" t="s">
        <v>2975</v>
      </c>
      <c r="E2242" s="287" t="s">
        <v>3564</v>
      </c>
      <c r="F2242" s="287" t="s">
        <v>5176</v>
      </c>
      <c r="G2242" s="288" t="s">
        <v>3569</v>
      </c>
    </row>
    <row r="2243" spans="1:7" x14ac:dyDescent="0.2">
      <c r="A2243" s="944">
        <v>39113091100</v>
      </c>
      <c r="B2243" s="239" t="s">
        <v>2249</v>
      </c>
      <c r="C2243" s="286" t="s">
        <v>2975</v>
      </c>
      <c r="D2243" s="865" t="s">
        <v>2975</v>
      </c>
      <c r="E2243" s="287" t="s">
        <v>3562</v>
      </c>
      <c r="F2243" s="287" t="s">
        <v>3559</v>
      </c>
      <c r="G2243" s="288" t="s">
        <v>3569</v>
      </c>
    </row>
    <row r="2244" spans="1:7" x14ac:dyDescent="0.2">
      <c r="A2244" s="944">
        <v>39113100101</v>
      </c>
      <c r="B2244" s="239" t="s">
        <v>2250</v>
      </c>
      <c r="C2244" s="286" t="s">
        <v>2975</v>
      </c>
      <c r="D2244" s="865" t="s">
        <v>2975</v>
      </c>
      <c r="E2244" s="287" t="s">
        <v>3557</v>
      </c>
      <c r="F2244" s="287" t="s">
        <v>3565</v>
      </c>
      <c r="G2244" s="288" t="s">
        <v>3569</v>
      </c>
    </row>
    <row r="2245" spans="1:7" x14ac:dyDescent="0.2">
      <c r="A2245" s="944">
        <v>39113100102</v>
      </c>
      <c r="B2245" s="239" t="s">
        <v>2251</v>
      </c>
      <c r="C2245" s="286" t="s">
        <v>2975</v>
      </c>
      <c r="D2245" s="865" t="s">
        <v>2975</v>
      </c>
      <c r="E2245" s="287" t="s">
        <v>3566</v>
      </c>
      <c r="F2245" s="287" t="s">
        <v>3558</v>
      </c>
      <c r="G2245" s="288" t="s">
        <v>3569</v>
      </c>
    </row>
    <row r="2246" spans="1:7" x14ac:dyDescent="0.2">
      <c r="A2246" s="944">
        <v>39113100201</v>
      </c>
      <c r="B2246" s="239" t="s">
        <v>2252</v>
      </c>
      <c r="C2246" s="286" t="s">
        <v>2975</v>
      </c>
      <c r="D2246" s="865" t="s">
        <v>2975</v>
      </c>
      <c r="E2246" s="287" t="s">
        <v>3557</v>
      </c>
      <c r="F2246" s="287" t="s">
        <v>5176</v>
      </c>
      <c r="G2246" s="288" t="s">
        <v>3569</v>
      </c>
    </row>
    <row r="2247" spans="1:7" x14ac:dyDescent="0.2">
      <c r="A2247" s="944">
        <v>39113100202</v>
      </c>
      <c r="B2247" s="239" t="s">
        <v>2253</v>
      </c>
      <c r="C2247" s="286" t="s">
        <v>2975</v>
      </c>
      <c r="D2247" s="865" t="s">
        <v>2975</v>
      </c>
      <c r="E2247" s="287" t="s">
        <v>3564</v>
      </c>
      <c r="F2247" s="287" t="s">
        <v>3559</v>
      </c>
      <c r="G2247" s="288" t="s">
        <v>3569</v>
      </c>
    </row>
    <row r="2248" spans="1:7" x14ac:dyDescent="0.2">
      <c r="A2248" s="944">
        <v>39113100203</v>
      </c>
      <c r="B2248" s="239" t="s">
        <v>2254</v>
      </c>
      <c r="C2248" s="286" t="s">
        <v>2975</v>
      </c>
      <c r="D2248" s="865" t="s">
        <v>2975</v>
      </c>
      <c r="E2248" s="287" t="s">
        <v>3564</v>
      </c>
      <c r="F2248" s="287" t="s">
        <v>3559</v>
      </c>
      <c r="G2248" s="288" t="s">
        <v>3569</v>
      </c>
    </row>
    <row r="2249" spans="1:7" x14ac:dyDescent="0.2">
      <c r="A2249" s="944">
        <v>39113100301</v>
      </c>
      <c r="B2249" s="239" t="s">
        <v>2255</v>
      </c>
      <c r="C2249" s="286" t="s">
        <v>2975</v>
      </c>
      <c r="D2249" s="865" t="s">
        <v>2975</v>
      </c>
      <c r="E2249" s="287" t="s">
        <v>3564</v>
      </c>
      <c r="F2249" s="287" t="s">
        <v>5176</v>
      </c>
      <c r="G2249" s="288" t="s">
        <v>3569</v>
      </c>
    </row>
    <row r="2250" spans="1:7" x14ac:dyDescent="0.2">
      <c r="A2250" s="944">
        <v>39113100302</v>
      </c>
      <c r="B2250" s="239" t="s">
        <v>2256</v>
      </c>
      <c r="C2250" s="286" t="s">
        <v>2975</v>
      </c>
      <c r="D2250" s="865" t="s">
        <v>2975</v>
      </c>
      <c r="E2250" s="287" t="s">
        <v>3564</v>
      </c>
      <c r="F2250" s="287" t="s">
        <v>3558</v>
      </c>
      <c r="G2250" s="288" t="s">
        <v>3569</v>
      </c>
    </row>
    <row r="2251" spans="1:7" x14ac:dyDescent="0.2">
      <c r="A2251" s="944">
        <v>39113100400</v>
      </c>
      <c r="B2251" s="239" t="s">
        <v>2257</v>
      </c>
      <c r="C2251" s="286" t="s">
        <v>2975</v>
      </c>
      <c r="D2251" s="865" t="s">
        <v>2975</v>
      </c>
      <c r="E2251" s="287" t="s">
        <v>3564</v>
      </c>
      <c r="F2251" s="287" t="s">
        <v>3565</v>
      </c>
      <c r="G2251" s="288" t="s">
        <v>3569</v>
      </c>
    </row>
    <row r="2252" spans="1:7" x14ac:dyDescent="0.2">
      <c r="A2252" s="944">
        <v>39113110100</v>
      </c>
      <c r="B2252" s="239" t="s">
        <v>2258</v>
      </c>
      <c r="C2252" s="286" t="s">
        <v>2975</v>
      </c>
      <c r="D2252" s="865" t="s">
        <v>2975</v>
      </c>
      <c r="E2252" s="287" t="s">
        <v>3562</v>
      </c>
      <c r="F2252" s="287" t="s">
        <v>3559</v>
      </c>
      <c r="G2252" s="288" t="s">
        <v>3568</v>
      </c>
    </row>
    <row r="2253" spans="1:7" x14ac:dyDescent="0.2">
      <c r="A2253" s="944">
        <v>39113110201</v>
      </c>
      <c r="B2253" s="239" t="s">
        <v>2259</v>
      </c>
      <c r="C2253" s="286" t="s">
        <v>2975</v>
      </c>
      <c r="D2253" s="865" t="s">
        <v>2975</v>
      </c>
      <c r="E2253" s="287" t="s">
        <v>3563</v>
      </c>
      <c r="F2253" s="287" t="s">
        <v>5176</v>
      </c>
      <c r="G2253" s="288" t="s">
        <v>3569</v>
      </c>
    </row>
    <row r="2254" spans="1:7" x14ac:dyDescent="0.2">
      <c r="A2254" s="944">
        <v>39113110202</v>
      </c>
      <c r="B2254" s="239" t="s">
        <v>2260</v>
      </c>
      <c r="C2254" s="286" t="s">
        <v>2975</v>
      </c>
      <c r="D2254" s="865" t="s">
        <v>2975</v>
      </c>
      <c r="E2254" s="287" t="s">
        <v>3566</v>
      </c>
      <c r="F2254" s="287" t="s">
        <v>3558</v>
      </c>
      <c r="G2254" s="288" t="s">
        <v>3569</v>
      </c>
    </row>
    <row r="2255" spans="1:7" x14ac:dyDescent="0.2">
      <c r="A2255" s="944">
        <v>39113115002</v>
      </c>
      <c r="B2255" s="239" t="s">
        <v>2261</v>
      </c>
      <c r="C2255" s="286" t="s">
        <v>2975</v>
      </c>
      <c r="D2255" s="865" t="s">
        <v>2975</v>
      </c>
      <c r="E2255" s="287" t="s">
        <v>3566</v>
      </c>
      <c r="F2255" s="287" t="s">
        <v>3558</v>
      </c>
      <c r="G2255" s="288" t="s">
        <v>3569</v>
      </c>
    </row>
    <row r="2256" spans="1:7" x14ac:dyDescent="0.2">
      <c r="A2256" s="944">
        <v>39113115011</v>
      </c>
      <c r="B2256" s="239" t="s">
        <v>2262</v>
      </c>
      <c r="C2256" s="286" t="s">
        <v>2975</v>
      </c>
      <c r="D2256" s="865" t="s">
        <v>2975</v>
      </c>
      <c r="E2256" s="287" t="s">
        <v>3566</v>
      </c>
      <c r="F2256" s="287" t="s">
        <v>3559</v>
      </c>
      <c r="G2256" s="288" t="s">
        <v>3569</v>
      </c>
    </row>
    <row r="2257" spans="1:7" x14ac:dyDescent="0.2">
      <c r="A2257" s="944">
        <v>39113115012</v>
      </c>
      <c r="B2257" s="239" t="s">
        <v>2263</v>
      </c>
      <c r="C2257" s="286" t="s">
        <v>2975</v>
      </c>
      <c r="D2257" s="865" t="s">
        <v>2975</v>
      </c>
      <c r="E2257" s="287" t="s">
        <v>3566</v>
      </c>
      <c r="F2257" s="287" t="s">
        <v>3558</v>
      </c>
      <c r="G2257" s="288" t="s">
        <v>3569</v>
      </c>
    </row>
    <row r="2258" spans="1:7" x14ac:dyDescent="0.2">
      <c r="A2258" s="944">
        <v>39113120101</v>
      </c>
      <c r="B2258" s="239" t="s">
        <v>2264</v>
      </c>
      <c r="C2258" s="286" t="s">
        <v>2975</v>
      </c>
      <c r="D2258" s="865" t="s">
        <v>2975</v>
      </c>
      <c r="E2258" s="287" t="s">
        <v>3563</v>
      </c>
      <c r="F2258" s="287" t="s">
        <v>5176</v>
      </c>
      <c r="G2258" s="288" t="s">
        <v>3569</v>
      </c>
    </row>
    <row r="2259" spans="1:7" x14ac:dyDescent="0.2">
      <c r="A2259" s="944">
        <v>39113120102</v>
      </c>
      <c r="B2259" s="239" t="s">
        <v>2265</v>
      </c>
      <c r="C2259" s="286" t="s">
        <v>2975</v>
      </c>
      <c r="D2259" s="865" t="s">
        <v>2975</v>
      </c>
      <c r="E2259" s="287" t="s">
        <v>3564</v>
      </c>
      <c r="F2259" s="287" t="s">
        <v>5177</v>
      </c>
      <c r="G2259" s="288" t="s">
        <v>3569</v>
      </c>
    </row>
    <row r="2260" spans="1:7" x14ac:dyDescent="0.2">
      <c r="A2260" s="944">
        <v>39113120103</v>
      </c>
      <c r="B2260" s="239" t="s">
        <v>2266</v>
      </c>
      <c r="C2260" s="286" t="s">
        <v>2975</v>
      </c>
      <c r="D2260" s="865" t="s">
        <v>2975</v>
      </c>
      <c r="E2260" s="287" t="s">
        <v>3564</v>
      </c>
      <c r="F2260" s="287" t="s">
        <v>5176</v>
      </c>
      <c r="G2260" s="288" t="s">
        <v>3569</v>
      </c>
    </row>
    <row r="2261" spans="1:7" x14ac:dyDescent="0.2">
      <c r="A2261" s="944">
        <v>39113125000</v>
      </c>
      <c r="B2261" s="239" t="s">
        <v>2267</v>
      </c>
      <c r="C2261" s="286" t="s">
        <v>2975</v>
      </c>
      <c r="D2261" s="865" t="s">
        <v>2975</v>
      </c>
      <c r="E2261" s="287" t="s">
        <v>3564</v>
      </c>
      <c r="F2261" s="287" t="s">
        <v>3559</v>
      </c>
      <c r="G2261" s="288" t="s">
        <v>3569</v>
      </c>
    </row>
    <row r="2262" spans="1:7" x14ac:dyDescent="0.2">
      <c r="A2262" s="944">
        <v>39113125101</v>
      </c>
      <c r="B2262" s="239" t="s">
        <v>2268</v>
      </c>
      <c r="C2262" s="286" t="s">
        <v>2975</v>
      </c>
      <c r="D2262" s="865" t="s">
        <v>2975</v>
      </c>
      <c r="E2262" s="287" t="s">
        <v>3566</v>
      </c>
      <c r="F2262" s="287" t="s">
        <v>3559</v>
      </c>
      <c r="G2262" s="288" t="s">
        <v>3569</v>
      </c>
    </row>
    <row r="2263" spans="1:7" x14ac:dyDescent="0.2">
      <c r="A2263" s="944">
        <v>39113125102</v>
      </c>
      <c r="B2263" s="239" t="s">
        <v>2269</v>
      </c>
      <c r="C2263" s="286" t="s">
        <v>2975</v>
      </c>
      <c r="D2263" s="865" t="s">
        <v>2975</v>
      </c>
      <c r="E2263" s="287" t="s">
        <v>3566</v>
      </c>
      <c r="F2263" s="287" t="s">
        <v>3559</v>
      </c>
      <c r="G2263" s="288" t="s">
        <v>3569</v>
      </c>
    </row>
    <row r="2264" spans="1:7" x14ac:dyDescent="0.2">
      <c r="A2264" s="944">
        <v>39113130101</v>
      </c>
      <c r="B2264" s="239" t="s">
        <v>2270</v>
      </c>
      <c r="C2264" s="286" t="s">
        <v>2975</v>
      </c>
      <c r="D2264" s="865" t="s">
        <v>2975</v>
      </c>
      <c r="E2264" s="287" t="s">
        <v>3566</v>
      </c>
      <c r="F2264" s="287" t="s">
        <v>3565</v>
      </c>
      <c r="G2264" s="288" t="s">
        <v>3568</v>
      </c>
    </row>
    <row r="2265" spans="1:7" x14ac:dyDescent="0.2">
      <c r="A2265" s="944">
        <v>39113130102</v>
      </c>
      <c r="B2265" s="239" t="s">
        <v>2271</v>
      </c>
      <c r="C2265" s="286" t="s">
        <v>2975</v>
      </c>
      <c r="D2265" s="865" t="s">
        <v>2975</v>
      </c>
      <c r="E2265" s="287" t="s">
        <v>3563</v>
      </c>
      <c r="F2265" s="287" t="s">
        <v>5177</v>
      </c>
      <c r="G2265" s="288" t="s">
        <v>3569</v>
      </c>
    </row>
    <row r="2266" spans="1:7" x14ac:dyDescent="0.2">
      <c r="A2266" s="944">
        <v>39113140100</v>
      </c>
      <c r="B2266" s="239" t="s">
        <v>2272</v>
      </c>
      <c r="C2266" s="286" t="s">
        <v>2975</v>
      </c>
      <c r="D2266" s="865" t="s">
        <v>2975</v>
      </c>
      <c r="E2266" s="287" t="s">
        <v>3562</v>
      </c>
      <c r="F2266" s="287" t="s">
        <v>5177</v>
      </c>
      <c r="G2266" s="288" t="s">
        <v>3568</v>
      </c>
    </row>
    <row r="2267" spans="1:7" x14ac:dyDescent="0.2">
      <c r="A2267" s="944">
        <v>39113150100</v>
      </c>
      <c r="B2267" s="239" t="s">
        <v>2273</v>
      </c>
      <c r="C2267" s="286" t="s">
        <v>2975</v>
      </c>
      <c r="D2267" s="865" t="s">
        <v>2975</v>
      </c>
      <c r="E2267" s="287" t="s">
        <v>3566</v>
      </c>
      <c r="F2267" s="287" t="s">
        <v>3559</v>
      </c>
      <c r="G2267" s="288" t="s">
        <v>3568</v>
      </c>
    </row>
    <row r="2268" spans="1:7" x14ac:dyDescent="0.2">
      <c r="A2268" s="944">
        <v>39113160100</v>
      </c>
      <c r="B2268" s="239" t="s">
        <v>2274</v>
      </c>
      <c r="C2268" s="286" t="s">
        <v>2975</v>
      </c>
      <c r="D2268" s="865" t="s">
        <v>2975</v>
      </c>
      <c r="E2268" s="287" t="s">
        <v>3562</v>
      </c>
      <c r="F2268" s="287" t="s">
        <v>5177</v>
      </c>
      <c r="G2268" s="288" t="s">
        <v>3568</v>
      </c>
    </row>
    <row r="2269" spans="1:7" x14ac:dyDescent="0.2">
      <c r="A2269" s="944">
        <v>39113165000</v>
      </c>
      <c r="B2269" s="239" t="s">
        <v>2275</v>
      </c>
      <c r="C2269" s="286" t="s">
        <v>2975</v>
      </c>
      <c r="D2269" s="865" t="s">
        <v>2975</v>
      </c>
      <c r="E2269" s="287" t="s">
        <v>3564</v>
      </c>
      <c r="F2269" s="287" t="s">
        <v>3565</v>
      </c>
      <c r="G2269" s="288" t="s">
        <v>3569</v>
      </c>
    </row>
    <row r="2270" spans="1:7" x14ac:dyDescent="0.2">
      <c r="A2270" s="944">
        <v>39113165100</v>
      </c>
      <c r="B2270" s="239" t="s">
        <v>2276</v>
      </c>
      <c r="C2270" s="286" t="s">
        <v>4330</v>
      </c>
      <c r="D2270" s="865" t="s">
        <v>4330</v>
      </c>
      <c r="E2270" s="287" t="s">
        <v>3557</v>
      </c>
      <c r="F2270" s="287" t="s">
        <v>5176</v>
      </c>
      <c r="G2270" s="288" t="s">
        <v>3553</v>
      </c>
    </row>
    <row r="2271" spans="1:7" x14ac:dyDescent="0.2">
      <c r="A2271" s="944">
        <v>39113165200</v>
      </c>
      <c r="B2271" s="239" t="s">
        <v>2277</v>
      </c>
      <c r="C2271" s="286" t="s">
        <v>4330</v>
      </c>
      <c r="D2271" s="865" t="s">
        <v>4330</v>
      </c>
      <c r="E2271" s="287" t="s">
        <v>3566</v>
      </c>
      <c r="F2271" s="287" t="s">
        <v>3559</v>
      </c>
      <c r="G2271" s="288" t="s">
        <v>3553</v>
      </c>
    </row>
    <row r="2272" spans="1:7" x14ac:dyDescent="0.2">
      <c r="A2272" s="944">
        <v>39113980000</v>
      </c>
      <c r="B2272" s="239" t="s">
        <v>2278</v>
      </c>
      <c r="C2272" s="286" t="s">
        <v>2975</v>
      </c>
      <c r="D2272" s="865" t="s">
        <v>2975</v>
      </c>
      <c r="E2272" s="287"/>
      <c r="F2272" s="287" t="s">
        <v>5178</v>
      </c>
      <c r="G2272" s="288" t="s">
        <v>3569</v>
      </c>
    </row>
    <row r="2273" spans="1:7" x14ac:dyDescent="0.2">
      <c r="A2273" s="944">
        <v>39115968800</v>
      </c>
      <c r="B2273" s="239" t="s">
        <v>2279</v>
      </c>
      <c r="C2273" s="286" t="s">
        <v>2975</v>
      </c>
      <c r="D2273" s="865" t="s">
        <v>2975</v>
      </c>
      <c r="E2273" s="287" t="s">
        <v>3557</v>
      </c>
      <c r="F2273" s="287" t="s">
        <v>3565</v>
      </c>
      <c r="G2273" s="288" t="s">
        <v>3568</v>
      </c>
    </row>
    <row r="2274" spans="1:7" x14ac:dyDescent="0.2">
      <c r="A2274" s="944">
        <v>39115968900</v>
      </c>
      <c r="B2274" s="239" t="s">
        <v>2280</v>
      </c>
      <c r="C2274" s="286" t="s">
        <v>2975</v>
      </c>
      <c r="D2274" s="865" t="s">
        <v>2975</v>
      </c>
      <c r="E2274" s="287" t="s">
        <v>3557</v>
      </c>
      <c r="F2274" s="287" t="s">
        <v>3565</v>
      </c>
      <c r="G2274" s="288" t="s">
        <v>3568</v>
      </c>
    </row>
    <row r="2275" spans="1:7" x14ac:dyDescent="0.2">
      <c r="A2275" s="944">
        <v>39115969000</v>
      </c>
      <c r="B2275" s="239" t="s">
        <v>2281</v>
      </c>
      <c r="C2275" s="286" t="s">
        <v>2975</v>
      </c>
      <c r="D2275" s="865" t="s">
        <v>2975</v>
      </c>
      <c r="E2275" s="287" t="s">
        <v>3557</v>
      </c>
      <c r="F2275" s="287" t="s">
        <v>5176</v>
      </c>
      <c r="G2275" s="288" t="s">
        <v>3568</v>
      </c>
    </row>
    <row r="2276" spans="1:7" x14ac:dyDescent="0.2">
      <c r="A2276" s="944">
        <v>39115969100</v>
      </c>
      <c r="B2276" s="239" t="s">
        <v>2282</v>
      </c>
      <c r="C2276" s="286" t="s">
        <v>2975</v>
      </c>
      <c r="D2276" s="865" t="s">
        <v>4330</v>
      </c>
      <c r="E2276" s="287" t="s">
        <v>3557</v>
      </c>
      <c r="F2276" s="287" t="s">
        <v>3559</v>
      </c>
      <c r="G2276" s="288" t="s">
        <v>3568</v>
      </c>
    </row>
    <row r="2277" spans="1:7" x14ac:dyDescent="0.2">
      <c r="A2277" s="944">
        <v>39117965000</v>
      </c>
      <c r="B2277" s="239" t="s">
        <v>2283</v>
      </c>
      <c r="C2277" s="286" t="s">
        <v>2975</v>
      </c>
      <c r="D2277" s="865" t="s">
        <v>2975</v>
      </c>
      <c r="E2277" s="287" t="s">
        <v>3564</v>
      </c>
      <c r="F2277" s="287" t="s">
        <v>3559</v>
      </c>
      <c r="G2277" s="288" t="s">
        <v>3568</v>
      </c>
    </row>
    <row r="2278" spans="1:7" x14ac:dyDescent="0.2">
      <c r="A2278" s="944">
        <v>39117965100</v>
      </c>
      <c r="B2278" s="239" t="s">
        <v>2284</v>
      </c>
      <c r="C2278" s="286" t="s">
        <v>2975</v>
      </c>
      <c r="D2278" s="865" t="s">
        <v>2975</v>
      </c>
      <c r="E2278" s="287" t="s">
        <v>3564</v>
      </c>
      <c r="F2278" s="287" t="s">
        <v>3565</v>
      </c>
      <c r="G2278" s="288" t="s">
        <v>3568</v>
      </c>
    </row>
    <row r="2279" spans="1:7" x14ac:dyDescent="0.2">
      <c r="A2279" s="944">
        <v>39117965200</v>
      </c>
      <c r="B2279" s="239" t="s">
        <v>2285</v>
      </c>
      <c r="C2279" s="286" t="s">
        <v>2975</v>
      </c>
      <c r="D2279" s="865" t="s">
        <v>2975</v>
      </c>
      <c r="E2279" s="287" t="s">
        <v>3564</v>
      </c>
      <c r="F2279" s="287" t="s">
        <v>3558</v>
      </c>
      <c r="G2279" s="288" t="s">
        <v>3568</v>
      </c>
    </row>
    <row r="2280" spans="1:7" x14ac:dyDescent="0.2">
      <c r="A2280" s="944">
        <v>39117965300</v>
      </c>
      <c r="B2280" s="239" t="s">
        <v>2286</v>
      </c>
      <c r="C2280" s="286" t="s">
        <v>2975</v>
      </c>
      <c r="D2280" s="865" t="s">
        <v>2975</v>
      </c>
      <c r="E2280" s="287" t="s">
        <v>3564</v>
      </c>
      <c r="F2280" s="287" t="s">
        <v>3558</v>
      </c>
      <c r="G2280" s="288" t="s">
        <v>3568</v>
      </c>
    </row>
    <row r="2281" spans="1:7" x14ac:dyDescent="0.2">
      <c r="A2281" s="944">
        <v>39117965400</v>
      </c>
      <c r="B2281" s="239" t="s">
        <v>2287</v>
      </c>
      <c r="C2281" s="286" t="s">
        <v>2975</v>
      </c>
      <c r="D2281" s="865" t="s">
        <v>2975</v>
      </c>
      <c r="E2281" s="287" t="s">
        <v>3566</v>
      </c>
      <c r="F2281" s="287" t="s">
        <v>3565</v>
      </c>
      <c r="G2281" s="288" t="s">
        <v>3568</v>
      </c>
    </row>
    <row r="2282" spans="1:7" x14ac:dyDescent="0.2">
      <c r="A2282" s="944">
        <v>39117965500</v>
      </c>
      <c r="B2282" s="239" t="s">
        <v>2288</v>
      </c>
      <c r="C2282" s="286" t="s">
        <v>2975</v>
      </c>
      <c r="D2282" s="865" t="s">
        <v>2975</v>
      </c>
      <c r="E2282" s="287" t="s">
        <v>3566</v>
      </c>
      <c r="F2282" s="287" t="s">
        <v>3558</v>
      </c>
      <c r="G2282" s="288" t="s">
        <v>3568</v>
      </c>
    </row>
    <row r="2283" spans="1:7" x14ac:dyDescent="0.2">
      <c r="A2283" s="944">
        <v>39119911000</v>
      </c>
      <c r="B2283" s="239" t="s">
        <v>2289</v>
      </c>
      <c r="C2283" s="286" t="s">
        <v>2975</v>
      </c>
      <c r="D2283" s="865" t="s">
        <v>2975</v>
      </c>
      <c r="E2283" s="287" t="s">
        <v>3564</v>
      </c>
      <c r="F2283" s="287" t="s">
        <v>5177</v>
      </c>
      <c r="G2283" s="288" t="s">
        <v>3568</v>
      </c>
    </row>
    <row r="2284" spans="1:7" x14ac:dyDescent="0.2">
      <c r="A2284" s="944">
        <v>39119911100</v>
      </c>
      <c r="B2284" s="239" t="s">
        <v>2290</v>
      </c>
      <c r="C2284" s="286" t="s">
        <v>2975</v>
      </c>
      <c r="D2284" s="865" t="s">
        <v>2975</v>
      </c>
      <c r="E2284" s="287" t="s">
        <v>3566</v>
      </c>
      <c r="F2284" s="287" t="s">
        <v>3559</v>
      </c>
      <c r="G2284" s="288" t="s">
        <v>3568</v>
      </c>
    </row>
    <row r="2285" spans="1:7" x14ac:dyDescent="0.2">
      <c r="A2285" s="944">
        <v>39119911200</v>
      </c>
      <c r="B2285" s="239" t="s">
        <v>2291</v>
      </c>
      <c r="C2285" s="286" t="s">
        <v>2975</v>
      </c>
      <c r="D2285" s="865" t="s">
        <v>2975</v>
      </c>
      <c r="E2285" s="287" t="s">
        <v>3564</v>
      </c>
      <c r="F2285" s="287" t="s">
        <v>3558</v>
      </c>
      <c r="G2285" s="288" t="s">
        <v>3568</v>
      </c>
    </row>
    <row r="2286" spans="1:7" x14ac:dyDescent="0.2">
      <c r="A2286" s="944">
        <v>39119911300</v>
      </c>
      <c r="B2286" s="239" t="s">
        <v>2292</v>
      </c>
      <c r="C2286" s="286" t="s">
        <v>2975</v>
      </c>
      <c r="D2286" s="865" t="s">
        <v>2975</v>
      </c>
      <c r="E2286" s="287" t="s">
        <v>3564</v>
      </c>
      <c r="F2286" s="287" t="s">
        <v>3565</v>
      </c>
      <c r="G2286" s="288" t="s">
        <v>3568</v>
      </c>
    </row>
    <row r="2287" spans="1:7" x14ac:dyDescent="0.2">
      <c r="A2287" s="944">
        <v>39119911400</v>
      </c>
      <c r="B2287" s="239" t="s">
        <v>2293</v>
      </c>
      <c r="C2287" s="286" t="s">
        <v>4330</v>
      </c>
      <c r="D2287" s="865" t="s">
        <v>4330</v>
      </c>
      <c r="E2287" s="287" t="s">
        <v>3557</v>
      </c>
      <c r="F2287" s="287" t="s">
        <v>5177</v>
      </c>
      <c r="G2287" s="288" t="s">
        <v>3568</v>
      </c>
    </row>
    <row r="2288" spans="1:7" x14ac:dyDescent="0.2">
      <c r="A2288" s="944">
        <v>39119911500</v>
      </c>
      <c r="B2288" s="239" t="s">
        <v>2294</v>
      </c>
      <c r="C2288" s="286" t="s">
        <v>2975</v>
      </c>
      <c r="D2288" s="865" t="s">
        <v>2975</v>
      </c>
      <c r="E2288" s="287" t="s">
        <v>3566</v>
      </c>
      <c r="F2288" s="287" t="s">
        <v>5176</v>
      </c>
      <c r="G2288" s="288" t="s">
        <v>3568</v>
      </c>
    </row>
    <row r="2289" spans="1:7" x14ac:dyDescent="0.2">
      <c r="A2289" s="944">
        <v>39119911600</v>
      </c>
      <c r="B2289" s="239" t="s">
        <v>2295</v>
      </c>
      <c r="C2289" s="286" t="s">
        <v>2975</v>
      </c>
      <c r="D2289" s="865" t="s">
        <v>2975</v>
      </c>
      <c r="E2289" s="287" t="s">
        <v>3562</v>
      </c>
      <c r="F2289" s="287" t="s">
        <v>3565</v>
      </c>
      <c r="G2289" s="288" t="s">
        <v>3568</v>
      </c>
    </row>
    <row r="2290" spans="1:7" x14ac:dyDescent="0.2">
      <c r="A2290" s="944">
        <v>39119911700</v>
      </c>
      <c r="B2290" s="239" t="s">
        <v>2296</v>
      </c>
      <c r="C2290" s="286" t="s">
        <v>2975</v>
      </c>
      <c r="D2290" s="865" t="s">
        <v>2975</v>
      </c>
      <c r="E2290" s="287" t="s">
        <v>3566</v>
      </c>
      <c r="F2290" s="287" t="s">
        <v>5177</v>
      </c>
      <c r="G2290" s="288" t="s">
        <v>5175</v>
      </c>
    </row>
    <row r="2291" spans="1:7" x14ac:dyDescent="0.2">
      <c r="A2291" s="944">
        <v>39119911800</v>
      </c>
      <c r="B2291" s="239" t="s">
        <v>2297</v>
      </c>
      <c r="C2291" s="286" t="s">
        <v>4330</v>
      </c>
      <c r="D2291" s="865" t="s">
        <v>4330</v>
      </c>
      <c r="E2291" s="287" t="s">
        <v>3564</v>
      </c>
      <c r="F2291" s="287" t="s">
        <v>3558</v>
      </c>
      <c r="G2291" s="288" t="s">
        <v>5175</v>
      </c>
    </row>
    <row r="2292" spans="1:7" x14ac:dyDescent="0.2">
      <c r="A2292" s="944">
        <v>39119911900</v>
      </c>
      <c r="B2292" s="239" t="s">
        <v>2298</v>
      </c>
      <c r="C2292" s="286" t="s">
        <v>2975</v>
      </c>
      <c r="D2292" s="865" t="s">
        <v>2975</v>
      </c>
      <c r="E2292" s="287" t="s">
        <v>3564</v>
      </c>
      <c r="F2292" s="287" t="s">
        <v>3565</v>
      </c>
      <c r="G2292" s="288" t="s">
        <v>3568</v>
      </c>
    </row>
    <row r="2293" spans="1:7" x14ac:dyDescent="0.2">
      <c r="A2293" s="944">
        <v>39119912000</v>
      </c>
      <c r="B2293" s="239" t="s">
        <v>2299</v>
      </c>
      <c r="C2293" s="286" t="s">
        <v>4330</v>
      </c>
      <c r="D2293" s="865" t="s">
        <v>4330</v>
      </c>
      <c r="E2293" s="287" t="s">
        <v>3564</v>
      </c>
      <c r="F2293" s="287" t="s">
        <v>5177</v>
      </c>
      <c r="G2293" s="288" t="s">
        <v>3568</v>
      </c>
    </row>
    <row r="2294" spans="1:7" x14ac:dyDescent="0.2">
      <c r="A2294" s="944">
        <v>39119912100</v>
      </c>
      <c r="B2294" s="239" t="s">
        <v>2300</v>
      </c>
      <c r="C2294" s="286" t="s">
        <v>4330</v>
      </c>
      <c r="D2294" s="865" t="s">
        <v>4330</v>
      </c>
      <c r="E2294" s="287" t="s">
        <v>3557</v>
      </c>
      <c r="F2294" s="287" t="s">
        <v>3565</v>
      </c>
      <c r="G2294" s="288" t="s">
        <v>5175</v>
      </c>
    </row>
    <row r="2295" spans="1:7" x14ac:dyDescent="0.2">
      <c r="A2295" s="944">
        <v>39119912200</v>
      </c>
      <c r="B2295" s="239" t="s">
        <v>2301</v>
      </c>
      <c r="C2295" s="286" t="s">
        <v>2975</v>
      </c>
      <c r="D2295" s="865" t="s">
        <v>2975</v>
      </c>
      <c r="E2295" s="287" t="s">
        <v>3557</v>
      </c>
      <c r="F2295" s="287" t="s">
        <v>5176</v>
      </c>
      <c r="G2295" s="288" t="s">
        <v>3568</v>
      </c>
    </row>
    <row r="2296" spans="1:7" x14ac:dyDescent="0.2">
      <c r="A2296" s="944">
        <v>39119912300</v>
      </c>
      <c r="B2296" s="239" t="s">
        <v>2302</v>
      </c>
      <c r="C2296" s="286" t="s">
        <v>2975</v>
      </c>
      <c r="D2296" s="865" t="s">
        <v>2975</v>
      </c>
      <c r="E2296" s="287" t="s">
        <v>3564</v>
      </c>
      <c r="F2296" s="287" t="s">
        <v>3565</v>
      </c>
      <c r="G2296" s="288" t="s">
        <v>3568</v>
      </c>
    </row>
    <row r="2297" spans="1:7" x14ac:dyDescent="0.2">
      <c r="A2297" s="944">
        <v>39119912400</v>
      </c>
      <c r="B2297" s="239" t="s">
        <v>2303</v>
      </c>
      <c r="C2297" s="286" t="s">
        <v>2975</v>
      </c>
      <c r="D2297" s="865" t="s">
        <v>2975</v>
      </c>
      <c r="E2297" s="287" t="s">
        <v>3564</v>
      </c>
      <c r="F2297" s="287" t="s">
        <v>3558</v>
      </c>
      <c r="G2297" s="288" t="s">
        <v>3568</v>
      </c>
    </row>
    <row r="2298" spans="1:7" x14ac:dyDescent="0.2">
      <c r="A2298" s="944">
        <v>39119912500</v>
      </c>
      <c r="B2298" s="239" t="s">
        <v>2304</v>
      </c>
      <c r="C2298" s="286" t="s">
        <v>2975</v>
      </c>
      <c r="D2298" s="865" t="s">
        <v>2975</v>
      </c>
      <c r="E2298" s="287" t="s">
        <v>3557</v>
      </c>
      <c r="F2298" s="287" t="s">
        <v>3559</v>
      </c>
      <c r="G2298" s="288" t="s">
        <v>3568</v>
      </c>
    </row>
    <row r="2299" spans="1:7" x14ac:dyDescent="0.2">
      <c r="A2299" s="944">
        <v>39119912600</v>
      </c>
      <c r="B2299" s="239" t="s">
        <v>2305</v>
      </c>
      <c r="C2299" s="286" t="s">
        <v>2975</v>
      </c>
      <c r="D2299" s="865" t="s">
        <v>2975</v>
      </c>
      <c r="E2299" s="287" t="s">
        <v>3564</v>
      </c>
      <c r="F2299" s="287" t="s">
        <v>3565</v>
      </c>
      <c r="G2299" s="288" t="s">
        <v>3568</v>
      </c>
    </row>
    <row r="2300" spans="1:7" x14ac:dyDescent="0.2">
      <c r="A2300" s="944">
        <v>39119912700</v>
      </c>
      <c r="B2300" s="239" t="s">
        <v>2306</v>
      </c>
      <c r="C2300" s="286" t="s">
        <v>2975</v>
      </c>
      <c r="D2300" s="865" t="s">
        <v>2975</v>
      </c>
      <c r="E2300" s="287" t="s">
        <v>3566</v>
      </c>
      <c r="F2300" s="287" t="s">
        <v>3558</v>
      </c>
      <c r="G2300" s="288" t="s">
        <v>3568</v>
      </c>
    </row>
    <row r="2301" spans="1:7" x14ac:dyDescent="0.2">
      <c r="A2301" s="944">
        <v>39119912800</v>
      </c>
      <c r="B2301" s="239" t="s">
        <v>2307</v>
      </c>
      <c r="C2301" s="286" t="s">
        <v>2975</v>
      </c>
      <c r="D2301" s="865" t="s">
        <v>2975</v>
      </c>
      <c r="E2301" s="287" t="s">
        <v>3563</v>
      </c>
      <c r="F2301" s="287" t="s">
        <v>3559</v>
      </c>
      <c r="G2301" s="288" t="s">
        <v>3568</v>
      </c>
    </row>
    <row r="2302" spans="1:7" x14ac:dyDescent="0.2">
      <c r="A2302" s="944">
        <v>39121968300</v>
      </c>
      <c r="B2302" s="239" t="s">
        <v>2308</v>
      </c>
      <c r="C2302" s="286" t="s">
        <v>2975</v>
      </c>
      <c r="D2302" s="865" t="s">
        <v>2975</v>
      </c>
      <c r="E2302" s="287" t="s">
        <v>3557</v>
      </c>
      <c r="F2302" s="287" t="s">
        <v>5177</v>
      </c>
      <c r="G2302" s="288" t="s">
        <v>3568</v>
      </c>
    </row>
    <row r="2303" spans="1:7" x14ac:dyDescent="0.2">
      <c r="A2303" s="944">
        <v>39121968400</v>
      </c>
      <c r="B2303" s="239" t="s">
        <v>2309</v>
      </c>
      <c r="C2303" s="286" t="s">
        <v>2975</v>
      </c>
      <c r="D2303" s="865" t="s">
        <v>2975</v>
      </c>
      <c r="E2303" s="287" t="s">
        <v>3564</v>
      </c>
      <c r="F2303" s="287" t="s">
        <v>3565</v>
      </c>
      <c r="G2303" s="288" t="s">
        <v>3568</v>
      </c>
    </row>
    <row r="2304" spans="1:7" x14ac:dyDescent="0.2">
      <c r="A2304" s="944">
        <v>39121968500</v>
      </c>
      <c r="B2304" s="239" t="s">
        <v>2310</v>
      </c>
      <c r="C2304" s="286" t="s">
        <v>2975</v>
      </c>
      <c r="D2304" s="865" t="s">
        <v>2975</v>
      </c>
      <c r="E2304" s="287" t="s">
        <v>3557</v>
      </c>
      <c r="F2304" s="287" t="s">
        <v>5177</v>
      </c>
      <c r="G2304" s="288" t="s">
        <v>3568</v>
      </c>
    </row>
    <row r="2305" spans="1:7" x14ac:dyDescent="0.2">
      <c r="A2305" s="944">
        <v>39123050100</v>
      </c>
      <c r="B2305" s="239" t="s">
        <v>2311</v>
      </c>
      <c r="C2305" s="286" t="s">
        <v>2975</v>
      </c>
      <c r="D2305" s="865" t="s">
        <v>2975</v>
      </c>
      <c r="E2305" s="287" t="s">
        <v>3562</v>
      </c>
      <c r="F2305" s="287" t="s">
        <v>3559</v>
      </c>
      <c r="G2305" s="288" t="s">
        <v>3568</v>
      </c>
    </row>
    <row r="2306" spans="1:7" x14ac:dyDescent="0.2">
      <c r="A2306" s="944">
        <v>39123050201</v>
      </c>
      <c r="B2306" s="239" t="s">
        <v>2312</v>
      </c>
      <c r="C2306" s="286" t="s">
        <v>2975</v>
      </c>
      <c r="D2306" s="865" t="s">
        <v>2975</v>
      </c>
      <c r="E2306" s="287" t="s">
        <v>3562</v>
      </c>
      <c r="F2306" s="287" t="s">
        <v>5176</v>
      </c>
      <c r="G2306" s="288" t="s">
        <v>3568</v>
      </c>
    </row>
    <row r="2307" spans="1:7" x14ac:dyDescent="0.2">
      <c r="A2307" s="944">
        <v>39123050202</v>
      </c>
      <c r="B2307" s="239" t="s">
        <v>2313</v>
      </c>
      <c r="C2307" s="286" t="s">
        <v>2975</v>
      </c>
      <c r="D2307" s="865" t="s">
        <v>2975</v>
      </c>
      <c r="E2307" s="287" t="s">
        <v>3562</v>
      </c>
      <c r="F2307" s="287" t="s">
        <v>5177</v>
      </c>
      <c r="G2307" s="288" t="s">
        <v>3568</v>
      </c>
    </row>
    <row r="2308" spans="1:7" x14ac:dyDescent="0.2">
      <c r="A2308" s="944">
        <v>39123050301</v>
      </c>
      <c r="B2308" s="239" t="s">
        <v>2314</v>
      </c>
      <c r="C2308" s="286" t="s">
        <v>2975</v>
      </c>
      <c r="D2308" s="865" t="s">
        <v>2975</v>
      </c>
      <c r="E2308" s="287" t="s">
        <v>3563</v>
      </c>
      <c r="F2308" s="287" t="s">
        <v>3558</v>
      </c>
      <c r="G2308" s="288" t="s">
        <v>3568</v>
      </c>
    </row>
    <row r="2309" spans="1:7" x14ac:dyDescent="0.2">
      <c r="A2309" s="944">
        <v>39123050302</v>
      </c>
      <c r="B2309" s="239" t="s">
        <v>2315</v>
      </c>
      <c r="C2309" s="286" t="s">
        <v>2975</v>
      </c>
      <c r="D2309" s="865" t="s">
        <v>2975</v>
      </c>
      <c r="E2309" s="287" t="s">
        <v>3562</v>
      </c>
      <c r="F2309" s="287" t="s">
        <v>3559</v>
      </c>
      <c r="G2309" s="288" t="s">
        <v>3568</v>
      </c>
    </row>
    <row r="2310" spans="1:7" x14ac:dyDescent="0.2">
      <c r="A2310" s="944">
        <v>39123050500</v>
      </c>
      <c r="B2310" s="239" t="s">
        <v>2316</v>
      </c>
      <c r="C2310" s="286" t="s">
        <v>2975</v>
      </c>
      <c r="D2310" s="865" t="s">
        <v>2975</v>
      </c>
      <c r="E2310" s="287" t="s">
        <v>3563</v>
      </c>
      <c r="F2310" s="287" t="s">
        <v>3565</v>
      </c>
      <c r="G2310" s="288" t="s">
        <v>5175</v>
      </c>
    </row>
    <row r="2311" spans="1:7" x14ac:dyDescent="0.2">
      <c r="A2311" s="944">
        <v>39123050600</v>
      </c>
      <c r="B2311" s="239" t="s">
        <v>2317</v>
      </c>
      <c r="C2311" s="286" t="s">
        <v>2975</v>
      </c>
      <c r="D2311" s="865" t="s">
        <v>2975</v>
      </c>
      <c r="E2311" s="287" t="s">
        <v>3564</v>
      </c>
      <c r="F2311" s="287" t="s">
        <v>5176</v>
      </c>
      <c r="G2311" s="288" t="s">
        <v>5175</v>
      </c>
    </row>
    <row r="2312" spans="1:7" x14ac:dyDescent="0.2">
      <c r="A2312" s="944">
        <v>39123050700</v>
      </c>
      <c r="B2312" s="239" t="s">
        <v>2318</v>
      </c>
      <c r="C2312" s="286" t="s">
        <v>2975</v>
      </c>
      <c r="D2312" s="865" t="s">
        <v>2975</v>
      </c>
      <c r="E2312" s="287" t="s">
        <v>3563</v>
      </c>
      <c r="F2312" s="287" t="s">
        <v>3565</v>
      </c>
      <c r="G2312" s="288" t="s">
        <v>3568</v>
      </c>
    </row>
    <row r="2313" spans="1:7" x14ac:dyDescent="0.2">
      <c r="A2313" s="944">
        <v>39123050800</v>
      </c>
      <c r="B2313" s="239" t="s">
        <v>2319</v>
      </c>
      <c r="C2313" s="286" t="s">
        <v>2975</v>
      </c>
      <c r="D2313" s="865" t="s">
        <v>2975</v>
      </c>
      <c r="E2313" s="287" t="s">
        <v>3563</v>
      </c>
      <c r="F2313" s="287" t="s">
        <v>5176</v>
      </c>
      <c r="G2313" s="288" t="s">
        <v>3568</v>
      </c>
    </row>
    <row r="2314" spans="1:7" x14ac:dyDescent="0.2">
      <c r="A2314" s="944">
        <v>39123050900</v>
      </c>
      <c r="B2314" s="239" t="s">
        <v>2320</v>
      </c>
      <c r="C2314" s="286" t="s">
        <v>2975</v>
      </c>
      <c r="D2314" s="865" t="s">
        <v>2975</v>
      </c>
      <c r="E2314" s="287" t="s">
        <v>3562</v>
      </c>
      <c r="F2314" s="287" t="s">
        <v>3558</v>
      </c>
      <c r="G2314" s="288" t="s">
        <v>3568</v>
      </c>
    </row>
    <row r="2315" spans="1:7" x14ac:dyDescent="0.2">
      <c r="A2315" s="944">
        <v>39123051000</v>
      </c>
      <c r="B2315" s="239" t="s">
        <v>2321</v>
      </c>
      <c r="C2315" s="286" t="s">
        <v>2975</v>
      </c>
      <c r="D2315" s="865" t="s">
        <v>2975</v>
      </c>
      <c r="E2315" s="287" t="s">
        <v>3563</v>
      </c>
      <c r="F2315" s="287" t="s">
        <v>3565</v>
      </c>
      <c r="G2315" s="288" t="s">
        <v>3568</v>
      </c>
    </row>
    <row r="2316" spans="1:7" x14ac:dyDescent="0.2">
      <c r="A2316" s="944">
        <v>39123051100</v>
      </c>
      <c r="B2316" s="239" t="s">
        <v>2322</v>
      </c>
      <c r="C2316" s="286" t="s">
        <v>2975</v>
      </c>
      <c r="D2316" s="865" t="s">
        <v>2975</v>
      </c>
      <c r="E2316" s="287" t="s">
        <v>3563</v>
      </c>
      <c r="F2316" s="287" t="s">
        <v>5177</v>
      </c>
      <c r="G2316" s="288" t="s">
        <v>3568</v>
      </c>
    </row>
    <row r="2317" spans="1:7" x14ac:dyDescent="0.2">
      <c r="A2317" s="944">
        <v>39123051200</v>
      </c>
      <c r="B2317" s="239" t="s">
        <v>2323</v>
      </c>
      <c r="C2317" s="286" t="s">
        <v>2975</v>
      </c>
      <c r="D2317" s="865" t="s">
        <v>2975</v>
      </c>
      <c r="E2317" s="287" t="s">
        <v>3566</v>
      </c>
      <c r="F2317" s="287" t="s">
        <v>3558</v>
      </c>
      <c r="G2317" s="288" t="s">
        <v>3568</v>
      </c>
    </row>
    <row r="2318" spans="1:7" x14ac:dyDescent="0.2">
      <c r="A2318" s="944">
        <v>39125960100</v>
      </c>
      <c r="B2318" s="239" t="s">
        <v>2324</v>
      </c>
      <c r="C2318" s="286" t="s">
        <v>2975</v>
      </c>
      <c r="D2318" s="865" t="s">
        <v>2975</v>
      </c>
      <c r="E2318" s="287" t="s">
        <v>3564</v>
      </c>
      <c r="F2318" s="287" t="s">
        <v>5176</v>
      </c>
      <c r="G2318" s="288" t="s">
        <v>3568</v>
      </c>
    </row>
    <row r="2319" spans="1:7" x14ac:dyDescent="0.2">
      <c r="A2319" s="944">
        <v>39125960200</v>
      </c>
      <c r="B2319" s="239" t="s">
        <v>2325</v>
      </c>
      <c r="C2319" s="286" t="s">
        <v>2975</v>
      </c>
      <c r="D2319" s="865" t="s">
        <v>2975</v>
      </c>
      <c r="E2319" s="287" t="s">
        <v>3566</v>
      </c>
      <c r="F2319" s="287" t="s">
        <v>3565</v>
      </c>
      <c r="G2319" s="288" t="s">
        <v>3568</v>
      </c>
    </row>
    <row r="2320" spans="1:7" x14ac:dyDescent="0.2">
      <c r="A2320" s="944">
        <v>39125960300</v>
      </c>
      <c r="B2320" s="239" t="s">
        <v>2326</v>
      </c>
      <c r="C2320" s="286" t="s">
        <v>2975</v>
      </c>
      <c r="D2320" s="865" t="s">
        <v>2975</v>
      </c>
      <c r="E2320" s="287" t="s">
        <v>3563</v>
      </c>
      <c r="F2320" s="287" t="s">
        <v>5177</v>
      </c>
      <c r="G2320" s="288" t="s">
        <v>3568</v>
      </c>
    </row>
    <row r="2321" spans="1:7" x14ac:dyDescent="0.2">
      <c r="A2321" s="944">
        <v>39125960400</v>
      </c>
      <c r="B2321" s="239" t="s">
        <v>2327</v>
      </c>
      <c r="C2321" s="286" t="s">
        <v>2975</v>
      </c>
      <c r="D2321" s="865" t="s">
        <v>2975</v>
      </c>
      <c r="E2321" s="287" t="s">
        <v>3564</v>
      </c>
      <c r="F2321" s="287" t="s">
        <v>3558</v>
      </c>
      <c r="G2321" s="288" t="s">
        <v>3568</v>
      </c>
    </row>
    <row r="2322" spans="1:7" x14ac:dyDescent="0.2">
      <c r="A2322" s="944">
        <v>39125960500</v>
      </c>
      <c r="B2322" s="239" t="s">
        <v>2328</v>
      </c>
      <c r="C2322" s="286" t="s">
        <v>2975</v>
      </c>
      <c r="D2322" s="865" t="s">
        <v>2975</v>
      </c>
      <c r="E2322" s="287" t="s">
        <v>3563</v>
      </c>
      <c r="F2322" s="287" t="s">
        <v>5177</v>
      </c>
      <c r="G2322" s="288" t="s">
        <v>3568</v>
      </c>
    </row>
    <row r="2323" spans="1:7" x14ac:dyDescent="0.2">
      <c r="A2323" s="944">
        <v>39127965800</v>
      </c>
      <c r="B2323" s="239" t="s">
        <v>2329</v>
      </c>
      <c r="C2323" s="286" t="s">
        <v>2975</v>
      </c>
      <c r="D2323" s="865" t="s">
        <v>2975</v>
      </c>
      <c r="E2323" s="287" t="s">
        <v>3564</v>
      </c>
      <c r="F2323" s="287" t="s">
        <v>3565</v>
      </c>
      <c r="G2323" s="288" t="s">
        <v>3568</v>
      </c>
    </row>
    <row r="2324" spans="1:7" x14ac:dyDescent="0.2">
      <c r="A2324" s="944">
        <v>39127965900</v>
      </c>
      <c r="B2324" s="239" t="s">
        <v>2330</v>
      </c>
      <c r="C2324" s="286" t="s">
        <v>2975</v>
      </c>
      <c r="D2324" s="865" t="s">
        <v>2975</v>
      </c>
      <c r="E2324" s="287" t="s">
        <v>3557</v>
      </c>
      <c r="F2324" s="287" t="s">
        <v>3558</v>
      </c>
      <c r="G2324" s="288" t="s">
        <v>3568</v>
      </c>
    </row>
    <row r="2325" spans="1:7" x14ac:dyDescent="0.2">
      <c r="A2325" s="944">
        <v>39127966000</v>
      </c>
      <c r="B2325" s="239" t="s">
        <v>2331</v>
      </c>
      <c r="C2325" s="286" t="s">
        <v>4330</v>
      </c>
      <c r="D2325" s="865" t="s">
        <v>4330</v>
      </c>
      <c r="E2325" s="287" t="s">
        <v>3557</v>
      </c>
      <c r="F2325" s="287" t="s">
        <v>5176</v>
      </c>
      <c r="G2325" s="288" t="s">
        <v>3568</v>
      </c>
    </row>
    <row r="2326" spans="1:7" x14ac:dyDescent="0.2">
      <c r="A2326" s="944">
        <v>39127966100</v>
      </c>
      <c r="B2326" s="239" t="s">
        <v>2332</v>
      </c>
      <c r="C2326" s="286" t="s">
        <v>2975</v>
      </c>
      <c r="D2326" s="865" t="s">
        <v>2975</v>
      </c>
      <c r="E2326" s="287" t="s">
        <v>3557</v>
      </c>
      <c r="F2326" s="287" t="s">
        <v>5177</v>
      </c>
      <c r="G2326" s="288" t="s">
        <v>3568</v>
      </c>
    </row>
    <row r="2327" spans="1:7" x14ac:dyDescent="0.2">
      <c r="A2327" s="944">
        <v>39127966200</v>
      </c>
      <c r="B2327" s="239" t="s">
        <v>2333</v>
      </c>
      <c r="C2327" s="286" t="s">
        <v>4330</v>
      </c>
      <c r="D2327" s="865" t="s">
        <v>4330</v>
      </c>
      <c r="E2327" s="287" t="s">
        <v>3557</v>
      </c>
      <c r="F2327" s="287" t="s">
        <v>3565</v>
      </c>
      <c r="G2327" s="288" t="s">
        <v>3568</v>
      </c>
    </row>
    <row r="2328" spans="1:7" x14ac:dyDescent="0.2">
      <c r="A2328" s="944">
        <v>39127966300</v>
      </c>
      <c r="B2328" s="239" t="s">
        <v>2334</v>
      </c>
      <c r="C2328" s="286" t="s">
        <v>4330</v>
      </c>
      <c r="D2328" s="865" t="s">
        <v>4330</v>
      </c>
      <c r="E2328" s="287" t="s">
        <v>3557</v>
      </c>
      <c r="F2328" s="287" t="s">
        <v>3558</v>
      </c>
      <c r="G2328" s="288" t="s">
        <v>3568</v>
      </c>
    </row>
    <row r="2329" spans="1:7" x14ac:dyDescent="0.2">
      <c r="A2329" s="944">
        <v>39129020100</v>
      </c>
      <c r="B2329" s="239" t="s">
        <v>2335</v>
      </c>
      <c r="C2329" s="286" t="s">
        <v>4330</v>
      </c>
      <c r="D2329" s="865" t="s">
        <v>4330</v>
      </c>
      <c r="E2329" s="287" t="s">
        <v>3557</v>
      </c>
      <c r="F2329" s="287" t="s">
        <v>3559</v>
      </c>
      <c r="G2329" s="288" t="s">
        <v>5175</v>
      </c>
    </row>
    <row r="2330" spans="1:7" x14ac:dyDescent="0.2">
      <c r="A2330" s="944">
        <v>39129020200</v>
      </c>
      <c r="B2330" s="239" t="s">
        <v>2336</v>
      </c>
      <c r="C2330" s="286" t="s">
        <v>4330</v>
      </c>
      <c r="D2330" s="865" t="s">
        <v>4330</v>
      </c>
      <c r="E2330" s="287" t="s">
        <v>3557</v>
      </c>
      <c r="F2330" s="287" t="s">
        <v>3565</v>
      </c>
      <c r="G2330" s="288" t="s">
        <v>5175</v>
      </c>
    </row>
    <row r="2331" spans="1:7" x14ac:dyDescent="0.2">
      <c r="A2331" s="944">
        <v>39129020310</v>
      </c>
      <c r="B2331" s="239" t="s">
        <v>2337</v>
      </c>
      <c r="C2331" s="286" t="s">
        <v>2975</v>
      </c>
      <c r="D2331" s="865" t="s">
        <v>2975</v>
      </c>
      <c r="E2331" s="287" t="s">
        <v>3566</v>
      </c>
      <c r="F2331" s="287" t="s">
        <v>5176</v>
      </c>
      <c r="G2331" s="288" t="s">
        <v>3568</v>
      </c>
    </row>
    <row r="2332" spans="1:7" x14ac:dyDescent="0.2">
      <c r="A2332" s="944">
        <v>39129020320</v>
      </c>
      <c r="B2332" s="239" t="s">
        <v>2338</v>
      </c>
      <c r="C2332" s="286" t="s">
        <v>2975</v>
      </c>
      <c r="D2332" s="865" t="s">
        <v>2975</v>
      </c>
      <c r="E2332" s="287" t="s">
        <v>3562</v>
      </c>
      <c r="F2332" s="287" t="s">
        <v>3559</v>
      </c>
      <c r="G2332" s="288" t="s">
        <v>3568</v>
      </c>
    </row>
    <row r="2333" spans="1:7" x14ac:dyDescent="0.2">
      <c r="A2333" s="944">
        <v>39129020400</v>
      </c>
      <c r="B2333" s="239" t="s">
        <v>2339</v>
      </c>
      <c r="C2333" s="286" t="s">
        <v>4330</v>
      </c>
      <c r="D2333" s="865" t="s">
        <v>4330</v>
      </c>
      <c r="E2333" s="287" t="s">
        <v>3564</v>
      </c>
      <c r="F2333" s="287" t="s">
        <v>5176</v>
      </c>
      <c r="G2333" s="288" t="s">
        <v>3568</v>
      </c>
    </row>
    <row r="2334" spans="1:7" x14ac:dyDescent="0.2">
      <c r="A2334" s="944">
        <v>39129021100</v>
      </c>
      <c r="B2334" s="239" t="s">
        <v>2340</v>
      </c>
      <c r="C2334" s="286" t="s">
        <v>2975</v>
      </c>
      <c r="D2334" s="865" t="s">
        <v>2975</v>
      </c>
      <c r="E2334" s="287" t="s">
        <v>3563</v>
      </c>
      <c r="F2334" s="287" t="s">
        <v>3559</v>
      </c>
      <c r="G2334" s="288" t="s">
        <v>3568</v>
      </c>
    </row>
    <row r="2335" spans="1:7" x14ac:dyDescent="0.2">
      <c r="A2335" s="944">
        <v>39129021200</v>
      </c>
      <c r="B2335" s="239" t="s">
        <v>2341</v>
      </c>
      <c r="C2335" s="286" t="s">
        <v>2975</v>
      </c>
      <c r="D2335" s="865" t="s">
        <v>2975</v>
      </c>
      <c r="E2335" s="287" t="s">
        <v>3566</v>
      </c>
      <c r="F2335" s="287" t="s">
        <v>3559</v>
      </c>
      <c r="G2335" s="288" t="s">
        <v>3568</v>
      </c>
    </row>
    <row r="2336" spans="1:7" x14ac:dyDescent="0.2">
      <c r="A2336" s="944">
        <v>39129021300</v>
      </c>
      <c r="B2336" s="239" t="s">
        <v>2342</v>
      </c>
      <c r="C2336" s="286" t="s">
        <v>2975</v>
      </c>
      <c r="D2336" s="865" t="s">
        <v>2975</v>
      </c>
      <c r="E2336" s="287"/>
      <c r="F2336" s="287" t="s">
        <v>5178</v>
      </c>
      <c r="G2336" s="288" t="s">
        <v>3568</v>
      </c>
    </row>
    <row r="2337" spans="1:7" x14ac:dyDescent="0.2">
      <c r="A2337" s="944">
        <v>39129021401</v>
      </c>
      <c r="B2337" s="239" t="s">
        <v>2343</v>
      </c>
      <c r="C2337" s="286" t="s">
        <v>2975</v>
      </c>
      <c r="D2337" s="865" t="s">
        <v>2975</v>
      </c>
      <c r="E2337" s="287" t="s">
        <v>3564</v>
      </c>
      <c r="F2337" s="287" t="s">
        <v>5176</v>
      </c>
      <c r="G2337" s="288" t="s">
        <v>3568</v>
      </c>
    </row>
    <row r="2338" spans="1:7" x14ac:dyDescent="0.2">
      <c r="A2338" s="944">
        <v>39129021402</v>
      </c>
      <c r="B2338" s="239" t="s">
        <v>2344</v>
      </c>
      <c r="C2338" s="286" t="s">
        <v>2975</v>
      </c>
      <c r="D2338" s="865" t="s">
        <v>2975</v>
      </c>
      <c r="E2338" s="287" t="s">
        <v>3563</v>
      </c>
      <c r="F2338" s="287" t="s">
        <v>3559</v>
      </c>
      <c r="G2338" s="288" t="s">
        <v>3568</v>
      </c>
    </row>
    <row r="2339" spans="1:7" x14ac:dyDescent="0.2">
      <c r="A2339" s="944">
        <v>39129021500</v>
      </c>
      <c r="B2339" s="239" t="s">
        <v>2345</v>
      </c>
      <c r="C2339" s="286" t="s">
        <v>2975</v>
      </c>
      <c r="D2339" s="865" t="s">
        <v>2975</v>
      </c>
      <c r="E2339" s="287" t="s">
        <v>3564</v>
      </c>
      <c r="F2339" s="287" t="s">
        <v>3565</v>
      </c>
      <c r="G2339" s="288" t="s">
        <v>3568</v>
      </c>
    </row>
    <row r="2340" spans="1:7" x14ac:dyDescent="0.2">
      <c r="A2340" s="944">
        <v>39129021600</v>
      </c>
      <c r="B2340" s="239" t="s">
        <v>2346</v>
      </c>
      <c r="C2340" s="286" t="s">
        <v>2975</v>
      </c>
      <c r="D2340" s="865" t="s">
        <v>2975</v>
      </c>
      <c r="E2340" s="287" t="s">
        <v>3564</v>
      </c>
      <c r="F2340" s="287" t="s">
        <v>3565</v>
      </c>
      <c r="G2340" s="288" t="s">
        <v>3568</v>
      </c>
    </row>
    <row r="2341" spans="1:7" x14ac:dyDescent="0.2">
      <c r="A2341" s="944">
        <v>39129021700</v>
      </c>
      <c r="B2341" s="239" t="s">
        <v>2347</v>
      </c>
      <c r="C2341" s="286" t="s">
        <v>2975</v>
      </c>
      <c r="D2341" s="865" t="s">
        <v>2975</v>
      </c>
      <c r="E2341" s="287" t="s">
        <v>3566</v>
      </c>
      <c r="F2341" s="287" t="s">
        <v>5177</v>
      </c>
      <c r="G2341" s="288" t="s">
        <v>3568</v>
      </c>
    </row>
    <row r="2342" spans="1:7" x14ac:dyDescent="0.2">
      <c r="A2342" s="944">
        <v>39131952200</v>
      </c>
      <c r="B2342" s="239" t="s">
        <v>2348</v>
      </c>
      <c r="C2342" s="286" t="s">
        <v>4330</v>
      </c>
      <c r="D2342" s="865" t="s">
        <v>4330</v>
      </c>
      <c r="E2342" s="287" t="s">
        <v>3557</v>
      </c>
      <c r="F2342" s="287" t="s">
        <v>3565</v>
      </c>
      <c r="G2342" s="288" t="s">
        <v>3568</v>
      </c>
    </row>
    <row r="2343" spans="1:7" x14ac:dyDescent="0.2">
      <c r="A2343" s="944">
        <v>39131952300</v>
      </c>
      <c r="B2343" s="239" t="s">
        <v>2349</v>
      </c>
      <c r="C2343" s="286" t="s">
        <v>2975</v>
      </c>
      <c r="D2343" s="865" t="s">
        <v>2975</v>
      </c>
      <c r="E2343" s="287" t="s">
        <v>3557</v>
      </c>
      <c r="F2343" s="287" t="s">
        <v>5177</v>
      </c>
      <c r="G2343" s="288" t="s">
        <v>3568</v>
      </c>
    </row>
    <row r="2344" spans="1:7" x14ac:dyDescent="0.2">
      <c r="A2344" s="944">
        <v>39131952400</v>
      </c>
      <c r="B2344" s="239" t="s">
        <v>2350</v>
      </c>
      <c r="C2344" s="286" t="s">
        <v>2975</v>
      </c>
      <c r="D2344" s="865" t="s">
        <v>2975</v>
      </c>
      <c r="E2344" s="287" t="s">
        <v>3557</v>
      </c>
      <c r="F2344" s="287" t="s">
        <v>5176</v>
      </c>
      <c r="G2344" s="288" t="s">
        <v>3568</v>
      </c>
    </row>
    <row r="2345" spans="1:7" x14ac:dyDescent="0.2">
      <c r="A2345" s="944">
        <v>39131952500</v>
      </c>
      <c r="B2345" s="239" t="s">
        <v>2351</v>
      </c>
      <c r="C2345" s="286" t="s">
        <v>2975</v>
      </c>
      <c r="D2345" s="865" t="s">
        <v>2975</v>
      </c>
      <c r="E2345" s="287" t="s">
        <v>3557</v>
      </c>
      <c r="F2345" s="287" t="s">
        <v>3559</v>
      </c>
      <c r="G2345" s="288" t="s">
        <v>3568</v>
      </c>
    </row>
    <row r="2346" spans="1:7" x14ac:dyDescent="0.2">
      <c r="A2346" s="944">
        <v>39131952600</v>
      </c>
      <c r="B2346" s="239" t="s">
        <v>2352</v>
      </c>
      <c r="C2346" s="286" t="s">
        <v>2975</v>
      </c>
      <c r="D2346" s="865" t="s">
        <v>2975</v>
      </c>
      <c r="E2346" s="287" t="s">
        <v>3557</v>
      </c>
      <c r="F2346" s="287" t="s">
        <v>5177</v>
      </c>
      <c r="G2346" s="288" t="s">
        <v>3568</v>
      </c>
    </row>
    <row r="2347" spans="1:7" x14ac:dyDescent="0.2">
      <c r="A2347" s="944">
        <v>39131952700</v>
      </c>
      <c r="B2347" s="239" t="s">
        <v>2353</v>
      </c>
      <c r="C2347" s="286" t="s">
        <v>2975</v>
      </c>
      <c r="D2347" s="865" t="s">
        <v>2975</v>
      </c>
      <c r="E2347" s="287" t="s">
        <v>3557</v>
      </c>
      <c r="F2347" s="287" t="s">
        <v>5176</v>
      </c>
      <c r="G2347" s="288" t="s">
        <v>3568</v>
      </c>
    </row>
    <row r="2348" spans="1:7" x14ac:dyDescent="0.2">
      <c r="A2348" s="944">
        <v>39133600102</v>
      </c>
      <c r="B2348" s="239" t="s">
        <v>2354</v>
      </c>
      <c r="C2348" s="286" t="s">
        <v>2975</v>
      </c>
      <c r="D2348" s="865" t="s">
        <v>2975</v>
      </c>
      <c r="E2348" s="287" t="s">
        <v>3563</v>
      </c>
      <c r="F2348" s="287" t="s">
        <v>3559</v>
      </c>
      <c r="G2348" s="288" t="s">
        <v>3568</v>
      </c>
    </row>
    <row r="2349" spans="1:7" x14ac:dyDescent="0.2">
      <c r="A2349" s="944">
        <v>39133600103</v>
      </c>
      <c r="B2349" s="239" t="s">
        <v>2355</v>
      </c>
      <c r="C2349" s="286" t="s">
        <v>2975</v>
      </c>
      <c r="D2349" s="865" t="s">
        <v>2975</v>
      </c>
      <c r="E2349" s="287" t="s">
        <v>3564</v>
      </c>
      <c r="F2349" s="287" t="s">
        <v>3559</v>
      </c>
      <c r="G2349" s="288" t="s">
        <v>3568</v>
      </c>
    </row>
    <row r="2350" spans="1:7" x14ac:dyDescent="0.2">
      <c r="A2350" s="944">
        <v>39133600200</v>
      </c>
      <c r="B2350" s="239" t="s">
        <v>2356</v>
      </c>
      <c r="C2350" s="286" t="s">
        <v>2975</v>
      </c>
      <c r="D2350" s="865" t="s">
        <v>2975</v>
      </c>
      <c r="E2350" s="287" t="s">
        <v>3566</v>
      </c>
      <c r="F2350" s="287" t="s">
        <v>5176</v>
      </c>
      <c r="G2350" s="288" t="s">
        <v>3568</v>
      </c>
    </row>
    <row r="2351" spans="1:7" x14ac:dyDescent="0.2">
      <c r="A2351" s="944">
        <v>39133600301</v>
      </c>
      <c r="B2351" s="239" t="s">
        <v>2357</v>
      </c>
      <c r="C2351" s="286" t="s">
        <v>2975</v>
      </c>
      <c r="D2351" s="865" t="s">
        <v>2975</v>
      </c>
      <c r="E2351" s="287" t="s">
        <v>3562</v>
      </c>
      <c r="F2351" s="287" t="s">
        <v>3559</v>
      </c>
      <c r="G2351" s="288" t="s">
        <v>3569</v>
      </c>
    </row>
    <row r="2352" spans="1:7" x14ac:dyDescent="0.2">
      <c r="A2352" s="944">
        <v>39133600302</v>
      </c>
      <c r="B2352" s="239" t="s">
        <v>2358</v>
      </c>
      <c r="C2352" s="286" t="s">
        <v>2975</v>
      </c>
      <c r="D2352" s="865" t="s">
        <v>2975</v>
      </c>
      <c r="E2352" s="287" t="s">
        <v>3562</v>
      </c>
      <c r="F2352" s="287" t="s">
        <v>3565</v>
      </c>
      <c r="G2352" s="288" t="s">
        <v>3569</v>
      </c>
    </row>
    <row r="2353" spans="1:7" x14ac:dyDescent="0.2">
      <c r="A2353" s="944">
        <v>39133600401</v>
      </c>
      <c r="B2353" s="239" t="s">
        <v>2359</v>
      </c>
      <c r="C2353" s="286" t="s">
        <v>2975</v>
      </c>
      <c r="D2353" s="865" t="s">
        <v>2975</v>
      </c>
      <c r="E2353" s="287" t="s">
        <v>3563</v>
      </c>
      <c r="F2353" s="287" t="s">
        <v>3558</v>
      </c>
      <c r="G2353" s="288" t="s">
        <v>3569</v>
      </c>
    </row>
    <row r="2354" spans="1:7" x14ac:dyDescent="0.2">
      <c r="A2354" s="944">
        <v>39133600402</v>
      </c>
      <c r="B2354" s="239" t="s">
        <v>2360</v>
      </c>
      <c r="C2354" s="286" t="s">
        <v>2975</v>
      </c>
      <c r="D2354" s="865" t="s">
        <v>2975</v>
      </c>
      <c r="E2354" s="287" t="s">
        <v>3566</v>
      </c>
      <c r="F2354" s="287" t="s">
        <v>3558</v>
      </c>
      <c r="G2354" s="288" t="s">
        <v>3569</v>
      </c>
    </row>
    <row r="2355" spans="1:7" x14ac:dyDescent="0.2">
      <c r="A2355" s="944">
        <v>39133600403</v>
      </c>
      <c r="B2355" s="239" t="s">
        <v>2361</v>
      </c>
      <c r="C2355" s="286" t="s">
        <v>2975</v>
      </c>
      <c r="D2355" s="865" t="s">
        <v>2975</v>
      </c>
      <c r="E2355" s="287" t="s">
        <v>3566</v>
      </c>
      <c r="F2355" s="287" t="s">
        <v>3559</v>
      </c>
      <c r="G2355" s="288" t="s">
        <v>3569</v>
      </c>
    </row>
    <row r="2356" spans="1:7" x14ac:dyDescent="0.2">
      <c r="A2356" s="944">
        <v>39133600500</v>
      </c>
      <c r="B2356" s="239" t="s">
        <v>2362</v>
      </c>
      <c r="C2356" s="286" t="s">
        <v>2975</v>
      </c>
      <c r="D2356" s="865" t="s">
        <v>2975</v>
      </c>
      <c r="E2356" s="287" t="s">
        <v>3566</v>
      </c>
      <c r="F2356" s="287" t="s">
        <v>3559</v>
      </c>
      <c r="G2356" s="288" t="s">
        <v>3568</v>
      </c>
    </row>
    <row r="2357" spans="1:7" x14ac:dyDescent="0.2">
      <c r="A2357" s="944">
        <v>39133600602</v>
      </c>
      <c r="B2357" s="239" t="s">
        <v>2363</v>
      </c>
      <c r="C2357" s="286" t="s">
        <v>2975</v>
      </c>
      <c r="D2357" s="865" t="s">
        <v>2975</v>
      </c>
      <c r="E2357" s="287" t="s">
        <v>3564</v>
      </c>
      <c r="F2357" s="287" t="s">
        <v>5176</v>
      </c>
      <c r="G2357" s="288" t="s">
        <v>3568</v>
      </c>
    </row>
    <row r="2358" spans="1:7" x14ac:dyDescent="0.2">
      <c r="A2358" s="944">
        <v>39133600603</v>
      </c>
      <c r="B2358" s="239" t="s">
        <v>2364</v>
      </c>
      <c r="C2358" s="286" t="s">
        <v>2975</v>
      </c>
      <c r="D2358" s="865" t="s">
        <v>2975</v>
      </c>
      <c r="E2358" s="287" t="s">
        <v>3557</v>
      </c>
      <c r="F2358" s="287" t="s">
        <v>5177</v>
      </c>
      <c r="G2358" s="288" t="s">
        <v>3568</v>
      </c>
    </row>
    <row r="2359" spans="1:7" x14ac:dyDescent="0.2">
      <c r="A2359" s="944">
        <v>39133600703</v>
      </c>
      <c r="B2359" s="239" t="s">
        <v>2365</v>
      </c>
      <c r="C2359" s="286" t="s">
        <v>2975</v>
      </c>
      <c r="D2359" s="865" t="s">
        <v>2975</v>
      </c>
      <c r="E2359" s="287" t="s">
        <v>3564</v>
      </c>
      <c r="F2359" s="287" t="s">
        <v>3565</v>
      </c>
      <c r="G2359" s="288" t="s">
        <v>3568</v>
      </c>
    </row>
    <row r="2360" spans="1:7" x14ac:dyDescent="0.2">
      <c r="A2360" s="944">
        <v>39133600704</v>
      </c>
      <c r="B2360" s="239" t="s">
        <v>2366</v>
      </c>
      <c r="C2360" s="286" t="s">
        <v>2975</v>
      </c>
      <c r="D2360" s="865" t="s">
        <v>2975</v>
      </c>
      <c r="E2360" s="287" t="s">
        <v>3566</v>
      </c>
      <c r="F2360" s="287" t="s">
        <v>3559</v>
      </c>
      <c r="G2360" s="288" t="s">
        <v>3568</v>
      </c>
    </row>
    <row r="2361" spans="1:7" x14ac:dyDescent="0.2">
      <c r="A2361" s="944">
        <v>39133600705</v>
      </c>
      <c r="B2361" s="239" t="s">
        <v>2367</v>
      </c>
      <c r="C2361" s="286" t="s">
        <v>2975</v>
      </c>
      <c r="D2361" s="865" t="s">
        <v>2975</v>
      </c>
      <c r="E2361" s="287" t="s">
        <v>3563</v>
      </c>
      <c r="F2361" s="287" t="s">
        <v>3559</v>
      </c>
      <c r="G2361" s="288" t="s">
        <v>3568</v>
      </c>
    </row>
    <row r="2362" spans="1:7" x14ac:dyDescent="0.2">
      <c r="A2362" s="944">
        <v>39133600706</v>
      </c>
      <c r="B2362" s="239" t="s">
        <v>2368</v>
      </c>
      <c r="C2362" s="286" t="s">
        <v>2975</v>
      </c>
      <c r="D2362" s="865" t="s">
        <v>2975</v>
      </c>
      <c r="E2362" s="287" t="s">
        <v>3566</v>
      </c>
      <c r="F2362" s="287" t="s">
        <v>3558</v>
      </c>
      <c r="G2362" s="288" t="s">
        <v>3568</v>
      </c>
    </row>
    <row r="2363" spans="1:7" x14ac:dyDescent="0.2">
      <c r="A2363" s="944">
        <v>39133600800</v>
      </c>
      <c r="B2363" s="239" t="s">
        <v>2369</v>
      </c>
      <c r="C2363" s="286" t="s">
        <v>2975</v>
      </c>
      <c r="D2363" s="865" t="s">
        <v>2975</v>
      </c>
      <c r="E2363" s="287" t="s">
        <v>3557</v>
      </c>
      <c r="F2363" s="287" t="s">
        <v>3559</v>
      </c>
      <c r="G2363" s="288" t="s">
        <v>3569</v>
      </c>
    </row>
    <row r="2364" spans="1:7" x14ac:dyDescent="0.2">
      <c r="A2364" s="944">
        <v>39133600901</v>
      </c>
      <c r="B2364" s="239" t="s">
        <v>2370</v>
      </c>
      <c r="C2364" s="286" t="s">
        <v>4330</v>
      </c>
      <c r="D2364" s="865" t="s">
        <v>4330</v>
      </c>
      <c r="E2364" s="287" t="s">
        <v>3557</v>
      </c>
      <c r="F2364" s="287" t="s">
        <v>3559</v>
      </c>
      <c r="G2364" s="288" t="s">
        <v>3569</v>
      </c>
    </row>
    <row r="2365" spans="1:7" x14ac:dyDescent="0.2">
      <c r="A2365" s="944">
        <v>39133600902</v>
      </c>
      <c r="B2365" s="239" t="s">
        <v>2371</v>
      </c>
      <c r="C2365" s="286" t="s">
        <v>2975</v>
      </c>
      <c r="D2365" s="865" t="s">
        <v>2975</v>
      </c>
      <c r="E2365" s="287" t="s">
        <v>3557</v>
      </c>
      <c r="F2365" s="287" t="s">
        <v>3565</v>
      </c>
      <c r="G2365" s="288" t="s">
        <v>3569</v>
      </c>
    </row>
    <row r="2366" spans="1:7" x14ac:dyDescent="0.2">
      <c r="A2366" s="944">
        <v>39133601000</v>
      </c>
      <c r="B2366" s="239" t="s">
        <v>2372</v>
      </c>
      <c r="C2366" s="286" t="s">
        <v>2975</v>
      </c>
      <c r="D2366" s="865" t="s">
        <v>4330</v>
      </c>
      <c r="E2366" s="287" t="s">
        <v>3557</v>
      </c>
      <c r="F2366" s="287" t="s">
        <v>3559</v>
      </c>
      <c r="G2366" s="288" t="s">
        <v>3569</v>
      </c>
    </row>
    <row r="2367" spans="1:7" x14ac:dyDescent="0.2">
      <c r="A2367" s="944">
        <v>39133601100</v>
      </c>
      <c r="B2367" s="239" t="s">
        <v>2373</v>
      </c>
      <c r="C2367" s="286" t="s">
        <v>2975</v>
      </c>
      <c r="D2367" s="865" t="s">
        <v>2975</v>
      </c>
      <c r="E2367" s="287" t="s">
        <v>3564</v>
      </c>
      <c r="F2367" s="287" t="s">
        <v>3559</v>
      </c>
      <c r="G2367" s="288" t="s">
        <v>3569</v>
      </c>
    </row>
    <row r="2368" spans="1:7" x14ac:dyDescent="0.2">
      <c r="A2368" s="944">
        <v>39133601200</v>
      </c>
      <c r="B2368" s="239" t="s">
        <v>2374</v>
      </c>
      <c r="C2368" s="286" t="s">
        <v>4330</v>
      </c>
      <c r="D2368" s="865" t="s">
        <v>4330</v>
      </c>
      <c r="E2368" s="287" t="s">
        <v>3564</v>
      </c>
      <c r="F2368" s="287" t="s">
        <v>5176</v>
      </c>
      <c r="G2368" s="288" t="s">
        <v>3569</v>
      </c>
    </row>
    <row r="2369" spans="1:7" x14ac:dyDescent="0.2">
      <c r="A2369" s="944">
        <v>39133601300</v>
      </c>
      <c r="B2369" s="239" t="s">
        <v>2375</v>
      </c>
      <c r="C2369" s="286" t="s">
        <v>2975</v>
      </c>
      <c r="D2369" s="865" t="s">
        <v>2975</v>
      </c>
      <c r="E2369" s="287" t="s">
        <v>3566</v>
      </c>
      <c r="F2369" s="287" t="s">
        <v>3559</v>
      </c>
      <c r="G2369" s="288" t="s">
        <v>3569</v>
      </c>
    </row>
    <row r="2370" spans="1:7" x14ac:dyDescent="0.2">
      <c r="A2370" s="944">
        <v>39133601400</v>
      </c>
      <c r="B2370" s="239" t="s">
        <v>2376</v>
      </c>
      <c r="C2370" s="286" t="s">
        <v>2975</v>
      </c>
      <c r="D2370" s="865" t="s">
        <v>2975</v>
      </c>
      <c r="E2370" s="287" t="s">
        <v>3566</v>
      </c>
      <c r="F2370" s="287" t="s">
        <v>3565</v>
      </c>
      <c r="G2370" s="288" t="s">
        <v>3569</v>
      </c>
    </row>
    <row r="2371" spans="1:7" x14ac:dyDescent="0.2">
      <c r="A2371" s="944">
        <v>39133601501</v>
      </c>
      <c r="B2371" s="239" t="s">
        <v>2377</v>
      </c>
      <c r="C2371" s="286" t="s">
        <v>4330</v>
      </c>
      <c r="D2371" s="865" t="s">
        <v>4330</v>
      </c>
      <c r="E2371" s="287" t="s">
        <v>3566</v>
      </c>
      <c r="F2371" s="287" t="s">
        <v>5176</v>
      </c>
      <c r="G2371" s="288" t="s">
        <v>3569</v>
      </c>
    </row>
    <row r="2372" spans="1:7" x14ac:dyDescent="0.2">
      <c r="A2372" s="944">
        <v>39133601502</v>
      </c>
      <c r="B2372" s="239" t="s">
        <v>2378</v>
      </c>
      <c r="C2372" s="286" t="s">
        <v>4330</v>
      </c>
      <c r="D2372" s="865" t="s">
        <v>4330</v>
      </c>
      <c r="E2372" s="287" t="s">
        <v>3564</v>
      </c>
      <c r="F2372" s="287" t="s">
        <v>3560</v>
      </c>
      <c r="G2372" s="288" t="s">
        <v>3569</v>
      </c>
    </row>
    <row r="2373" spans="1:7" x14ac:dyDescent="0.2">
      <c r="A2373" s="944">
        <v>39133601503</v>
      </c>
      <c r="B2373" s="239" t="s">
        <v>2379</v>
      </c>
      <c r="C2373" s="286" t="s">
        <v>4330</v>
      </c>
      <c r="D2373" s="865" t="s">
        <v>4330</v>
      </c>
      <c r="E2373" s="287" t="s">
        <v>3566</v>
      </c>
      <c r="F2373" s="287" t="s">
        <v>5176</v>
      </c>
      <c r="G2373" s="288" t="s">
        <v>3569</v>
      </c>
    </row>
    <row r="2374" spans="1:7" x14ac:dyDescent="0.2">
      <c r="A2374" s="944">
        <v>39133601600</v>
      </c>
      <c r="B2374" s="239" t="s">
        <v>2380</v>
      </c>
      <c r="C2374" s="286" t="s">
        <v>2975</v>
      </c>
      <c r="D2374" s="865" t="s">
        <v>2975</v>
      </c>
      <c r="E2374" s="287" t="s">
        <v>3566</v>
      </c>
      <c r="F2374" s="287" t="s">
        <v>5177</v>
      </c>
      <c r="G2374" s="288" t="s">
        <v>3569</v>
      </c>
    </row>
    <row r="2375" spans="1:7" x14ac:dyDescent="0.2">
      <c r="A2375" s="944">
        <v>39133601701</v>
      </c>
      <c r="B2375" s="239" t="s">
        <v>2381</v>
      </c>
      <c r="C2375" s="286" t="s">
        <v>2975</v>
      </c>
      <c r="D2375" s="865" t="s">
        <v>2975</v>
      </c>
      <c r="E2375" s="287" t="s">
        <v>3566</v>
      </c>
      <c r="F2375" s="287" t="s">
        <v>3559</v>
      </c>
      <c r="G2375" s="288" t="s">
        <v>3569</v>
      </c>
    </row>
    <row r="2376" spans="1:7" x14ac:dyDescent="0.2">
      <c r="A2376" s="944">
        <v>39133601702</v>
      </c>
      <c r="B2376" s="239" t="s">
        <v>2382</v>
      </c>
      <c r="C2376" s="286" t="s">
        <v>2975</v>
      </c>
      <c r="D2376" s="865" t="s">
        <v>2975</v>
      </c>
      <c r="E2376" s="287" t="s">
        <v>3566</v>
      </c>
      <c r="F2376" s="287" t="s">
        <v>3565</v>
      </c>
      <c r="G2376" s="288" t="s">
        <v>3569</v>
      </c>
    </row>
    <row r="2377" spans="1:7" x14ac:dyDescent="0.2">
      <c r="A2377" s="944">
        <v>39133601801</v>
      </c>
      <c r="B2377" s="239" t="s">
        <v>2383</v>
      </c>
      <c r="C2377" s="286" t="s">
        <v>2975</v>
      </c>
      <c r="D2377" s="865" t="s">
        <v>2975</v>
      </c>
      <c r="E2377" s="287" t="s">
        <v>3563</v>
      </c>
      <c r="F2377" s="287" t="s">
        <v>3559</v>
      </c>
      <c r="G2377" s="288" t="s">
        <v>3568</v>
      </c>
    </row>
    <row r="2378" spans="1:7" x14ac:dyDescent="0.2">
      <c r="A2378" s="944">
        <v>39133601802</v>
      </c>
      <c r="B2378" s="239" t="s">
        <v>2384</v>
      </c>
      <c r="C2378" s="286" t="s">
        <v>2975</v>
      </c>
      <c r="D2378" s="865" t="s">
        <v>2975</v>
      </c>
      <c r="E2378" s="287" t="s">
        <v>3563</v>
      </c>
      <c r="F2378" s="287" t="s">
        <v>3558</v>
      </c>
      <c r="G2378" s="288" t="s">
        <v>3568</v>
      </c>
    </row>
    <row r="2379" spans="1:7" x14ac:dyDescent="0.2">
      <c r="A2379" s="944">
        <v>39133601901</v>
      </c>
      <c r="B2379" s="239" t="s">
        <v>2385</v>
      </c>
      <c r="C2379" s="286" t="s">
        <v>2975</v>
      </c>
      <c r="D2379" s="865" t="s">
        <v>2975</v>
      </c>
      <c r="E2379" s="287" t="s">
        <v>3564</v>
      </c>
      <c r="F2379" s="287" t="s">
        <v>3560</v>
      </c>
      <c r="G2379" s="288" t="s">
        <v>3568</v>
      </c>
    </row>
    <row r="2380" spans="1:7" x14ac:dyDescent="0.2">
      <c r="A2380" s="944">
        <v>39133601902</v>
      </c>
      <c r="B2380" s="239" t="s">
        <v>2386</v>
      </c>
      <c r="C2380" s="286" t="s">
        <v>2975</v>
      </c>
      <c r="D2380" s="865" t="s">
        <v>2975</v>
      </c>
      <c r="E2380" s="287" t="s">
        <v>3566</v>
      </c>
      <c r="F2380" s="287" t="s">
        <v>3558</v>
      </c>
      <c r="G2380" s="288" t="s">
        <v>3568</v>
      </c>
    </row>
    <row r="2381" spans="1:7" x14ac:dyDescent="0.2">
      <c r="A2381" s="944">
        <v>39133602000</v>
      </c>
      <c r="B2381" s="239" t="s">
        <v>2387</v>
      </c>
      <c r="C2381" s="286" t="s">
        <v>2975</v>
      </c>
      <c r="D2381" s="865" t="s">
        <v>2975</v>
      </c>
      <c r="E2381" s="287" t="s">
        <v>3563</v>
      </c>
      <c r="F2381" s="287" t="s">
        <v>3558</v>
      </c>
      <c r="G2381" s="288" t="s">
        <v>3568</v>
      </c>
    </row>
    <row r="2382" spans="1:7" x14ac:dyDescent="0.2">
      <c r="A2382" s="944">
        <v>39133602100</v>
      </c>
      <c r="B2382" s="239" t="s">
        <v>2388</v>
      </c>
      <c r="C2382" s="286" t="s">
        <v>2975</v>
      </c>
      <c r="D2382" s="865" t="s">
        <v>2975</v>
      </c>
      <c r="E2382" s="287" t="s">
        <v>3563</v>
      </c>
      <c r="F2382" s="287" t="s">
        <v>5176</v>
      </c>
      <c r="G2382" s="288" t="s">
        <v>3568</v>
      </c>
    </row>
    <row r="2383" spans="1:7" x14ac:dyDescent="0.2">
      <c r="A2383" s="944">
        <v>39135400100</v>
      </c>
      <c r="B2383" s="239" t="s">
        <v>2389</v>
      </c>
      <c r="C2383" s="286" t="s">
        <v>2975</v>
      </c>
      <c r="D2383" s="865" t="s">
        <v>2975</v>
      </c>
      <c r="E2383" s="287" t="s">
        <v>3564</v>
      </c>
      <c r="F2383" s="287" t="s">
        <v>5177</v>
      </c>
      <c r="G2383" s="288" t="s">
        <v>3568</v>
      </c>
    </row>
    <row r="2384" spans="1:7" x14ac:dyDescent="0.2">
      <c r="A2384" s="944">
        <v>39135410100</v>
      </c>
      <c r="B2384" s="239" t="s">
        <v>2390</v>
      </c>
      <c r="C2384" s="286" t="s">
        <v>2975</v>
      </c>
      <c r="D2384" s="865" t="s">
        <v>2975</v>
      </c>
      <c r="E2384" s="287" t="s">
        <v>3564</v>
      </c>
      <c r="F2384" s="287" t="s">
        <v>3559</v>
      </c>
      <c r="G2384" s="288" t="s">
        <v>3568</v>
      </c>
    </row>
    <row r="2385" spans="1:7" x14ac:dyDescent="0.2">
      <c r="A2385" s="944">
        <v>39135420100</v>
      </c>
      <c r="B2385" s="239" t="s">
        <v>2391</v>
      </c>
      <c r="C2385" s="286" t="s">
        <v>2975</v>
      </c>
      <c r="D2385" s="865" t="s">
        <v>2975</v>
      </c>
      <c r="E2385" s="287" t="s">
        <v>3566</v>
      </c>
      <c r="F2385" s="287" t="s">
        <v>3559</v>
      </c>
      <c r="G2385" s="288" t="s">
        <v>3568</v>
      </c>
    </row>
    <row r="2386" spans="1:7" x14ac:dyDescent="0.2">
      <c r="A2386" s="944">
        <v>39135430100</v>
      </c>
      <c r="B2386" s="239" t="s">
        <v>2392</v>
      </c>
      <c r="C2386" s="286" t="s">
        <v>2975</v>
      </c>
      <c r="D2386" s="865" t="s">
        <v>2975</v>
      </c>
      <c r="E2386" s="287" t="s">
        <v>3564</v>
      </c>
      <c r="F2386" s="287" t="s">
        <v>5177</v>
      </c>
      <c r="G2386" s="288" t="s">
        <v>3568</v>
      </c>
    </row>
    <row r="2387" spans="1:7" x14ac:dyDescent="0.2">
      <c r="A2387" s="944">
        <v>39135440100</v>
      </c>
      <c r="B2387" s="239" t="s">
        <v>2393</v>
      </c>
      <c r="C2387" s="286" t="s">
        <v>2975</v>
      </c>
      <c r="D2387" s="865" t="s">
        <v>2975</v>
      </c>
      <c r="E2387" s="287" t="s">
        <v>3564</v>
      </c>
      <c r="F2387" s="287" t="s">
        <v>5177</v>
      </c>
      <c r="G2387" s="288" t="s">
        <v>3568</v>
      </c>
    </row>
    <row r="2388" spans="1:7" x14ac:dyDescent="0.2">
      <c r="A2388" s="944">
        <v>39135450100</v>
      </c>
      <c r="B2388" s="239" t="s">
        <v>2394</v>
      </c>
      <c r="C2388" s="286" t="s">
        <v>2975</v>
      </c>
      <c r="D2388" s="865" t="s">
        <v>2975</v>
      </c>
      <c r="E2388" s="287" t="s">
        <v>3562</v>
      </c>
      <c r="F2388" s="287" t="s">
        <v>3565</v>
      </c>
      <c r="G2388" s="288" t="s">
        <v>3568</v>
      </c>
    </row>
    <row r="2389" spans="1:7" x14ac:dyDescent="0.2">
      <c r="A2389" s="944">
        <v>39135455001</v>
      </c>
      <c r="B2389" s="239" t="s">
        <v>2395</v>
      </c>
      <c r="C2389" s="286" t="s">
        <v>2975</v>
      </c>
      <c r="D2389" s="865" t="s">
        <v>2975</v>
      </c>
      <c r="E2389" s="287" t="s">
        <v>3563</v>
      </c>
      <c r="F2389" s="287" t="s">
        <v>5177</v>
      </c>
      <c r="G2389" s="288" t="s">
        <v>3568</v>
      </c>
    </row>
    <row r="2390" spans="1:7" x14ac:dyDescent="0.2">
      <c r="A2390" s="944">
        <v>39135455002</v>
      </c>
      <c r="B2390" s="239" t="s">
        <v>2396</v>
      </c>
      <c r="C2390" s="286" t="s">
        <v>2975</v>
      </c>
      <c r="D2390" s="865" t="s">
        <v>2975</v>
      </c>
      <c r="E2390" s="287" t="s">
        <v>3562</v>
      </c>
      <c r="F2390" s="287" t="s">
        <v>5177</v>
      </c>
      <c r="G2390" s="288" t="s">
        <v>3568</v>
      </c>
    </row>
    <row r="2391" spans="1:7" x14ac:dyDescent="0.2">
      <c r="A2391" s="944">
        <v>39135460100</v>
      </c>
      <c r="B2391" s="239" t="s">
        <v>2397</v>
      </c>
      <c r="C2391" s="286" t="s">
        <v>2975</v>
      </c>
      <c r="D2391" s="865" t="s">
        <v>2975</v>
      </c>
      <c r="E2391" s="287" t="s">
        <v>3563</v>
      </c>
      <c r="F2391" s="287" t="s">
        <v>3565</v>
      </c>
      <c r="G2391" s="288" t="s">
        <v>3568</v>
      </c>
    </row>
    <row r="2392" spans="1:7" x14ac:dyDescent="0.2">
      <c r="A2392" s="944">
        <v>39135470101</v>
      </c>
      <c r="B2392" s="239" t="s">
        <v>2398</v>
      </c>
      <c r="C2392" s="286" t="s">
        <v>2975</v>
      </c>
      <c r="D2392" s="865" t="s">
        <v>2975</v>
      </c>
      <c r="E2392" s="287" t="s">
        <v>3563</v>
      </c>
      <c r="F2392" s="287" t="s">
        <v>5177</v>
      </c>
      <c r="G2392" s="288" t="s">
        <v>3568</v>
      </c>
    </row>
    <row r="2393" spans="1:7" x14ac:dyDescent="0.2">
      <c r="A2393" s="944">
        <v>39135470102</v>
      </c>
      <c r="B2393" s="239" t="s">
        <v>2399</v>
      </c>
      <c r="C2393" s="286" t="s">
        <v>2975</v>
      </c>
      <c r="D2393" s="865" t="s">
        <v>2975</v>
      </c>
      <c r="E2393" s="287" t="s">
        <v>3564</v>
      </c>
      <c r="F2393" s="287" t="s">
        <v>3565</v>
      </c>
      <c r="G2393" s="288" t="s">
        <v>3568</v>
      </c>
    </row>
    <row r="2394" spans="1:7" x14ac:dyDescent="0.2">
      <c r="A2394" s="944">
        <v>39135480100</v>
      </c>
      <c r="B2394" s="239" t="s">
        <v>2400</v>
      </c>
      <c r="C2394" s="286" t="s">
        <v>2975</v>
      </c>
      <c r="D2394" s="865" t="s">
        <v>2975</v>
      </c>
      <c r="E2394" s="287" t="s">
        <v>3564</v>
      </c>
      <c r="F2394" s="287" t="s">
        <v>3565</v>
      </c>
      <c r="G2394" s="288" t="s">
        <v>3568</v>
      </c>
    </row>
    <row r="2395" spans="1:7" x14ac:dyDescent="0.2">
      <c r="A2395" s="944">
        <v>39137030100</v>
      </c>
      <c r="B2395" s="239" t="s">
        <v>2401</v>
      </c>
      <c r="C2395" s="286" t="s">
        <v>2975</v>
      </c>
      <c r="D2395" s="865" t="s">
        <v>2975</v>
      </c>
      <c r="E2395" s="287" t="s">
        <v>3563</v>
      </c>
      <c r="F2395" s="287" t="s">
        <v>3565</v>
      </c>
      <c r="G2395" s="288" t="s">
        <v>3568</v>
      </c>
    </row>
    <row r="2396" spans="1:7" x14ac:dyDescent="0.2">
      <c r="A2396" s="944">
        <v>39137030200</v>
      </c>
      <c r="B2396" s="239" t="s">
        <v>2402</v>
      </c>
      <c r="C2396" s="286" t="s">
        <v>2975</v>
      </c>
      <c r="D2396" s="865" t="s">
        <v>2975</v>
      </c>
      <c r="E2396" s="287" t="s">
        <v>3563</v>
      </c>
      <c r="F2396" s="287" t="s">
        <v>3565</v>
      </c>
      <c r="G2396" s="288" t="s">
        <v>3568</v>
      </c>
    </row>
    <row r="2397" spans="1:7" x14ac:dyDescent="0.2">
      <c r="A2397" s="944">
        <v>39137030300</v>
      </c>
      <c r="B2397" s="239" t="s">
        <v>2403</v>
      </c>
      <c r="C2397" s="286" t="s">
        <v>2975</v>
      </c>
      <c r="D2397" s="865" t="s">
        <v>2975</v>
      </c>
      <c r="E2397" s="287" t="s">
        <v>3562</v>
      </c>
      <c r="F2397" s="287" t="s">
        <v>3565</v>
      </c>
      <c r="G2397" s="288" t="s">
        <v>3568</v>
      </c>
    </row>
    <row r="2398" spans="1:7" x14ac:dyDescent="0.2">
      <c r="A2398" s="944">
        <v>39137030400</v>
      </c>
      <c r="B2398" s="239" t="s">
        <v>2404</v>
      </c>
      <c r="C2398" s="286" t="s">
        <v>2975</v>
      </c>
      <c r="D2398" s="865" t="s">
        <v>2975</v>
      </c>
      <c r="E2398" s="287" t="s">
        <v>3563</v>
      </c>
      <c r="F2398" s="287" t="s">
        <v>3565</v>
      </c>
      <c r="G2398" s="288" t="s">
        <v>3568</v>
      </c>
    </row>
    <row r="2399" spans="1:7" x14ac:dyDescent="0.2">
      <c r="A2399" s="944">
        <v>39137030500</v>
      </c>
      <c r="B2399" s="239" t="s">
        <v>2405</v>
      </c>
      <c r="C2399" s="286" t="s">
        <v>2975</v>
      </c>
      <c r="D2399" s="865" t="s">
        <v>2975</v>
      </c>
      <c r="E2399" s="287" t="s">
        <v>3563</v>
      </c>
      <c r="F2399" s="287" t="s">
        <v>3559</v>
      </c>
      <c r="G2399" s="288" t="s">
        <v>3568</v>
      </c>
    </row>
    <row r="2400" spans="1:7" x14ac:dyDescent="0.2">
      <c r="A2400" s="944">
        <v>39137030600</v>
      </c>
      <c r="B2400" s="239" t="s">
        <v>2406</v>
      </c>
      <c r="C2400" s="286" t="s">
        <v>2975</v>
      </c>
      <c r="D2400" s="865" t="s">
        <v>2975</v>
      </c>
      <c r="E2400" s="287" t="s">
        <v>3562</v>
      </c>
      <c r="F2400" s="287" t="s">
        <v>5176</v>
      </c>
      <c r="G2400" s="288" t="s">
        <v>3568</v>
      </c>
    </row>
    <row r="2401" spans="1:7" x14ac:dyDescent="0.2">
      <c r="A2401" s="944">
        <v>39137030700</v>
      </c>
      <c r="B2401" s="239" t="s">
        <v>2407</v>
      </c>
      <c r="C2401" s="286" t="s">
        <v>2975</v>
      </c>
      <c r="D2401" s="865" t="s">
        <v>2975</v>
      </c>
      <c r="E2401" s="287" t="s">
        <v>3562</v>
      </c>
      <c r="F2401" s="287" t="s">
        <v>3558</v>
      </c>
      <c r="G2401" s="288" t="s">
        <v>3568</v>
      </c>
    </row>
    <row r="2402" spans="1:7" x14ac:dyDescent="0.2">
      <c r="A2402" s="944">
        <v>39139000400</v>
      </c>
      <c r="B2402" s="239" t="s">
        <v>2408</v>
      </c>
      <c r="C2402" s="286" t="s">
        <v>4330</v>
      </c>
      <c r="D2402" s="865" t="s">
        <v>4330</v>
      </c>
      <c r="E2402" s="287" t="s">
        <v>3566</v>
      </c>
      <c r="F2402" s="287" t="s">
        <v>3565</v>
      </c>
      <c r="G2402" s="288" t="s">
        <v>3553</v>
      </c>
    </row>
    <row r="2403" spans="1:7" x14ac:dyDescent="0.2">
      <c r="A2403" s="944">
        <v>39139000500</v>
      </c>
      <c r="B2403" s="239" t="s">
        <v>2409</v>
      </c>
      <c r="C2403" s="286" t="s">
        <v>4330</v>
      </c>
      <c r="D2403" s="865" t="s">
        <v>2975</v>
      </c>
      <c r="E2403" s="287" t="s">
        <v>3566</v>
      </c>
      <c r="F2403" s="287" t="s">
        <v>5176</v>
      </c>
      <c r="G2403" s="288" t="s">
        <v>3553</v>
      </c>
    </row>
    <row r="2404" spans="1:7" x14ac:dyDescent="0.2">
      <c r="A2404" s="944">
        <v>39139000600</v>
      </c>
      <c r="B2404" s="239" t="s">
        <v>2410</v>
      </c>
      <c r="C2404" s="286" t="s">
        <v>4330</v>
      </c>
      <c r="D2404" s="865" t="s">
        <v>4330</v>
      </c>
      <c r="E2404" s="287" t="s">
        <v>3564</v>
      </c>
      <c r="F2404" s="287" t="s">
        <v>5177</v>
      </c>
      <c r="G2404" s="288" t="s">
        <v>3553</v>
      </c>
    </row>
    <row r="2405" spans="1:7" x14ac:dyDescent="0.2">
      <c r="A2405" s="944">
        <v>39139000700</v>
      </c>
      <c r="B2405" s="239" t="s">
        <v>2411</v>
      </c>
      <c r="C2405" s="286" t="s">
        <v>4330</v>
      </c>
      <c r="D2405" s="865" t="s">
        <v>4330</v>
      </c>
      <c r="E2405" s="287" t="s">
        <v>3564</v>
      </c>
      <c r="F2405" s="287" t="s">
        <v>3565</v>
      </c>
      <c r="G2405" s="288" t="s">
        <v>3553</v>
      </c>
    </row>
    <row r="2406" spans="1:7" x14ac:dyDescent="0.2">
      <c r="A2406" s="944">
        <v>39139000800</v>
      </c>
      <c r="B2406" s="239" t="s">
        <v>2412</v>
      </c>
      <c r="C2406" s="286" t="s">
        <v>4330</v>
      </c>
      <c r="D2406" s="865" t="s">
        <v>4330</v>
      </c>
      <c r="E2406" s="287" t="s">
        <v>3563</v>
      </c>
      <c r="F2406" s="287" t="s">
        <v>5176</v>
      </c>
      <c r="G2406" s="288" t="s">
        <v>3553</v>
      </c>
    </row>
    <row r="2407" spans="1:7" x14ac:dyDescent="0.2">
      <c r="A2407" s="944">
        <v>39139000900</v>
      </c>
      <c r="B2407" s="239" t="s">
        <v>2413</v>
      </c>
      <c r="C2407" s="286" t="s">
        <v>2975</v>
      </c>
      <c r="D2407" s="865" t="s">
        <v>2975</v>
      </c>
      <c r="E2407" s="287" t="s">
        <v>3564</v>
      </c>
      <c r="F2407" s="287" t="s">
        <v>5176</v>
      </c>
      <c r="G2407" s="288" t="s">
        <v>3569</v>
      </c>
    </row>
    <row r="2408" spans="1:7" x14ac:dyDescent="0.2">
      <c r="A2408" s="944">
        <v>39139001000</v>
      </c>
      <c r="B2408" s="239" t="s">
        <v>2414</v>
      </c>
      <c r="C2408" s="286" t="s">
        <v>2975</v>
      </c>
      <c r="D2408" s="865" t="s">
        <v>4330</v>
      </c>
      <c r="E2408" s="287" t="s">
        <v>3557</v>
      </c>
      <c r="F2408" s="287" t="s">
        <v>3565</v>
      </c>
      <c r="G2408" s="288" t="s">
        <v>3569</v>
      </c>
    </row>
    <row r="2409" spans="1:7" x14ac:dyDescent="0.2">
      <c r="A2409" s="944">
        <v>39139001100</v>
      </c>
      <c r="B2409" s="239" t="s">
        <v>2415</v>
      </c>
      <c r="C2409" s="286" t="s">
        <v>2975</v>
      </c>
      <c r="D2409" s="865" t="s">
        <v>2975</v>
      </c>
      <c r="E2409" s="287" t="s">
        <v>3557</v>
      </c>
      <c r="F2409" s="287" t="s">
        <v>5176</v>
      </c>
      <c r="G2409" s="288" t="s">
        <v>3569</v>
      </c>
    </row>
    <row r="2410" spans="1:7" x14ac:dyDescent="0.2">
      <c r="A2410" s="944">
        <v>39139001200</v>
      </c>
      <c r="B2410" s="239" t="s">
        <v>2416</v>
      </c>
      <c r="C2410" s="286" t="s">
        <v>2975</v>
      </c>
      <c r="D2410" s="865" t="s">
        <v>2975</v>
      </c>
      <c r="E2410" s="287" t="s">
        <v>3564</v>
      </c>
      <c r="F2410" s="287" t="s">
        <v>3565</v>
      </c>
      <c r="G2410" s="288" t="s">
        <v>3569</v>
      </c>
    </row>
    <row r="2411" spans="1:7" x14ac:dyDescent="0.2">
      <c r="A2411" s="944">
        <v>39139001300</v>
      </c>
      <c r="B2411" s="239" t="s">
        <v>2417</v>
      </c>
      <c r="C2411" s="286" t="s">
        <v>2975</v>
      </c>
      <c r="D2411" s="865" t="s">
        <v>2975</v>
      </c>
      <c r="E2411" s="287" t="s">
        <v>3562</v>
      </c>
      <c r="F2411" s="287" t="s">
        <v>3565</v>
      </c>
      <c r="G2411" s="288" t="s">
        <v>3553</v>
      </c>
    </row>
    <row r="2412" spans="1:7" x14ac:dyDescent="0.2">
      <c r="A2412" s="944">
        <v>39139001400</v>
      </c>
      <c r="B2412" s="239" t="s">
        <v>2418</v>
      </c>
      <c r="C2412" s="286" t="s">
        <v>4330</v>
      </c>
      <c r="D2412" s="865" t="s">
        <v>4330</v>
      </c>
      <c r="E2412" s="287" t="s">
        <v>3557</v>
      </c>
      <c r="F2412" s="287" t="s">
        <v>5177</v>
      </c>
      <c r="G2412" s="288" t="s">
        <v>3569</v>
      </c>
    </row>
    <row r="2413" spans="1:7" x14ac:dyDescent="0.2">
      <c r="A2413" s="944">
        <v>39139001500</v>
      </c>
      <c r="B2413" s="239" t="s">
        <v>2419</v>
      </c>
      <c r="C2413" s="286" t="s">
        <v>2975</v>
      </c>
      <c r="D2413" s="865" t="s">
        <v>2975</v>
      </c>
      <c r="E2413" s="287" t="s">
        <v>3557</v>
      </c>
      <c r="F2413" s="287" t="s">
        <v>3559</v>
      </c>
      <c r="G2413" s="288" t="s">
        <v>3569</v>
      </c>
    </row>
    <row r="2414" spans="1:7" x14ac:dyDescent="0.2">
      <c r="A2414" s="944">
        <v>39139001600</v>
      </c>
      <c r="B2414" s="239" t="s">
        <v>2420</v>
      </c>
      <c r="C2414" s="286" t="s">
        <v>4330</v>
      </c>
      <c r="D2414" s="865" t="s">
        <v>4330</v>
      </c>
      <c r="E2414" s="287" t="s">
        <v>3557</v>
      </c>
      <c r="F2414" s="287" t="s">
        <v>5176</v>
      </c>
      <c r="G2414" s="288" t="s">
        <v>3569</v>
      </c>
    </row>
    <row r="2415" spans="1:7" x14ac:dyDescent="0.2">
      <c r="A2415" s="944">
        <v>39139001700</v>
      </c>
      <c r="B2415" s="239" t="s">
        <v>2421</v>
      </c>
      <c r="C2415" s="286" t="s">
        <v>2975</v>
      </c>
      <c r="D2415" s="865" t="s">
        <v>2975</v>
      </c>
      <c r="E2415" s="287" t="s">
        <v>3557</v>
      </c>
      <c r="F2415" s="287" t="s">
        <v>3559</v>
      </c>
      <c r="G2415" s="288" t="s">
        <v>3569</v>
      </c>
    </row>
    <row r="2416" spans="1:7" x14ac:dyDescent="0.2">
      <c r="A2416" s="944">
        <v>39139001800</v>
      </c>
      <c r="B2416" s="239" t="s">
        <v>2422</v>
      </c>
      <c r="C2416" s="286" t="s">
        <v>2975</v>
      </c>
      <c r="D2416" s="865" t="s">
        <v>2975</v>
      </c>
      <c r="E2416" s="287" t="s">
        <v>3564</v>
      </c>
      <c r="F2416" s="287" t="s">
        <v>3558</v>
      </c>
      <c r="G2416" s="288" t="s">
        <v>3569</v>
      </c>
    </row>
    <row r="2417" spans="1:7" x14ac:dyDescent="0.2">
      <c r="A2417" s="944">
        <v>39139001900</v>
      </c>
      <c r="B2417" s="239" t="s">
        <v>2423</v>
      </c>
      <c r="C2417" s="286" t="s">
        <v>2975</v>
      </c>
      <c r="D2417" s="865" t="s">
        <v>2975</v>
      </c>
      <c r="E2417" s="287" t="s">
        <v>3563</v>
      </c>
      <c r="F2417" s="287" t="s">
        <v>3559</v>
      </c>
      <c r="G2417" s="288" t="s">
        <v>3568</v>
      </c>
    </row>
    <row r="2418" spans="1:7" x14ac:dyDescent="0.2">
      <c r="A2418" s="944">
        <v>39139002000</v>
      </c>
      <c r="B2418" s="239" t="s">
        <v>2424</v>
      </c>
      <c r="C2418" s="286" t="s">
        <v>2975</v>
      </c>
      <c r="D2418" s="865" t="s">
        <v>2975</v>
      </c>
      <c r="E2418" s="287" t="s">
        <v>3566</v>
      </c>
      <c r="F2418" s="287" t="s">
        <v>3558</v>
      </c>
      <c r="G2418" s="288" t="s">
        <v>3568</v>
      </c>
    </row>
    <row r="2419" spans="1:7" x14ac:dyDescent="0.2">
      <c r="A2419" s="944">
        <v>39139002101</v>
      </c>
      <c r="B2419" s="239" t="s">
        <v>2425</v>
      </c>
      <c r="C2419" s="286" t="s">
        <v>2975</v>
      </c>
      <c r="D2419" s="865" t="s">
        <v>2975</v>
      </c>
      <c r="E2419" s="287" t="s">
        <v>3566</v>
      </c>
      <c r="F2419" s="287" t="s">
        <v>3558</v>
      </c>
      <c r="G2419" s="288" t="s">
        <v>3569</v>
      </c>
    </row>
    <row r="2420" spans="1:7" x14ac:dyDescent="0.2">
      <c r="A2420" s="944">
        <v>39139002102</v>
      </c>
      <c r="B2420" s="239" t="s">
        <v>2426</v>
      </c>
      <c r="C2420" s="286" t="s">
        <v>2975</v>
      </c>
      <c r="D2420" s="865" t="s">
        <v>2975</v>
      </c>
      <c r="E2420" s="287" t="s">
        <v>3566</v>
      </c>
      <c r="F2420" s="287" t="s">
        <v>3565</v>
      </c>
      <c r="G2420" s="288" t="s">
        <v>3569</v>
      </c>
    </row>
    <row r="2421" spans="1:7" x14ac:dyDescent="0.2">
      <c r="A2421" s="944">
        <v>39139002200</v>
      </c>
      <c r="B2421" s="239" t="s">
        <v>2427</v>
      </c>
      <c r="C2421" s="286" t="s">
        <v>2975</v>
      </c>
      <c r="D2421" s="865" t="s">
        <v>2975</v>
      </c>
      <c r="E2421" s="287" t="s">
        <v>3562</v>
      </c>
      <c r="F2421" s="287" t="s">
        <v>3558</v>
      </c>
      <c r="G2421" s="288" t="s">
        <v>3568</v>
      </c>
    </row>
    <row r="2422" spans="1:7" x14ac:dyDescent="0.2">
      <c r="A2422" s="944">
        <v>39139002300</v>
      </c>
      <c r="B2422" s="239" t="s">
        <v>2428</v>
      </c>
      <c r="C2422" s="286" t="s">
        <v>2975</v>
      </c>
      <c r="D2422" s="865" t="s">
        <v>2975</v>
      </c>
      <c r="E2422" s="287" t="s">
        <v>3562</v>
      </c>
      <c r="F2422" s="287" t="s">
        <v>5177</v>
      </c>
      <c r="G2422" s="288" t="s">
        <v>3568</v>
      </c>
    </row>
    <row r="2423" spans="1:7" x14ac:dyDescent="0.2">
      <c r="A2423" s="944">
        <v>39139002400</v>
      </c>
      <c r="B2423" s="239" t="s">
        <v>2429</v>
      </c>
      <c r="C2423" s="286" t="s">
        <v>2975</v>
      </c>
      <c r="D2423" s="865" t="s">
        <v>2975</v>
      </c>
      <c r="E2423" s="287" t="s">
        <v>3563</v>
      </c>
      <c r="F2423" s="287" t="s">
        <v>3565</v>
      </c>
      <c r="G2423" s="288" t="s">
        <v>3569</v>
      </c>
    </row>
    <row r="2424" spans="1:7" x14ac:dyDescent="0.2">
      <c r="A2424" s="944">
        <v>39139002500</v>
      </c>
      <c r="B2424" s="239" t="s">
        <v>2430</v>
      </c>
      <c r="C2424" s="286" t="s">
        <v>2975</v>
      </c>
      <c r="D2424" s="865" t="s">
        <v>2975</v>
      </c>
      <c r="E2424" s="287" t="s">
        <v>3563</v>
      </c>
      <c r="F2424" s="287" t="s">
        <v>5177</v>
      </c>
      <c r="G2424" s="288" t="s">
        <v>3568</v>
      </c>
    </row>
    <row r="2425" spans="1:7" x14ac:dyDescent="0.2">
      <c r="A2425" s="944">
        <v>39139002600</v>
      </c>
      <c r="B2425" s="239" t="s">
        <v>2431</v>
      </c>
      <c r="C2425" s="286" t="s">
        <v>2975</v>
      </c>
      <c r="D2425" s="865" t="s">
        <v>2975</v>
      </c>
      <c r="E2425" s="287" t="s">
        <v>3564</v>
      </c>
      <c r="F2425" s="287" t="s">
        <v>5176</v>
      </c>
      <c r="G2425" s="288" t="s">
        <v>3568</v>
      </c>
    </row>
    <row r="2426" spans="1:7" x14ac:dyDescent="0.2">
      <c r="A2426" s="944">
        <v>39139002700</v>
      </c>
      <c r="B2426" s="239" t="s">
        <v>2432</v>
      </c>
      <c r="C2426" s="286" t="s">
        <v>2975</v>
      </c>
      <c r="D2426" s="865" t="s">
        <v>2975</v>
      </c>
      <c r="E2426" s="287" t="s">
        <v>3563</v>
      </c>
      <c r="F2426" s="287" t="s">
        <v>5177</v>
      </c>
      <c r="G2426" s="288" t="s">
        <v>3568</v>
      </c>
    </row>
    <row r="2427" spans="1:7" x14ac:dyDescent="0.2">
      <c r="A2427" s="944">
        <v>39139002800</v>
      </c>
      <c r="B2427" s="239" t="s">
        <v>2433</v>
      </c>
      <c r="C2427" s="286" t="s">
        <v>2975</v>
      </c>
      <c r="D2427" s="865" t="s">
        <v>2975</v>
      </c>
      <c r="E2427" s="287" t="s">
        <v>3557</v>
      </c>
      <c r="F2427" s="287" t="s">
        <v>3565</v>
      </c>
      <c r="G2427" s="288" t="s">
        <v>3568</v>
      </c>
    </row>
    <row r="2428" spans="1:7" x14ac:dyDescent="0.2">
      <c r="A2428" s="944">
        <v>39139002900</v>
      </c>
      <c r="B2428" s="239" t="s">
        <v>2434</v>
      </c>
      <c r="C2428" s="286" t="s">
        <v>2975</v>
      </c>
      <c r="D2428" s="865" t="s">
        <v>2975</v>
      </c>
      <c r="E2428" s="287" t="s">
        <v>3564</v>
      </c>
      <c r="F2428" s="287" t="s">
        <v>3559</v>
      </c>
      <c r="G2428" s="288" t="s">
        <v>3568</v>
      </c>
    </row>
    <row r="2429" spans="1:7" x14ac:dyDescent="0.2">
      <c r="A2429" s="944">
        <v>39139003001</v>
      </c>
      <c r="B2429" s="239" t="s">
        <v>2435</v>
      </c>
      <c r="C2429" s="286" t="s">
        <v>2975</v>
      </c>
      <c r="D2429" s="865" t="s">
        <v>2975</v>
      </c>
      <c r="E2429" s="287" t="s">
        <v>3566</v>
      </c>
      <c r="F2429" s="287" t="s">
        <v>3559</v>
      </c>
      <c r="G2429" s="288" t="s">
        <v>3568</v>
      </c>
    </row>
    <row r="2430" spans="1:7" x14ac:dyDescent="0.2">
      <c r="A2430" s="944">
        <v>39139003002</v>
      </c>
      <c r="B2430" s="239" t="s">
        <v>2436</v>
      </c>
      <c r="C2430" s="286" t="s">
        <v>2975</v>
      </c>
      <c r="D2430" s="865" t="s">
        <v>2975</v>
      </c>
      <c r="E2430" s="287" t="s">
        <v>3564</v>
      </c>
      <c r="F2430" s="287" t="s">
        <v>3565</v>
      </c>
      <c r="G2430" s="288" t="s">
        <v>3568</v>
      </c>
    </row>
    <row r="2431" spans="1:7" x14ac:dyDescent="0.2">
      <c r="A2431" s="944">
        <v>39139003100</v>
      </c>
      <c r="B2431" s="239" t="s">
        <v>2437</v>
      </c>
      <c r="C2431" s="286" t="s">
        <v>4330</v>
      </c>
      <c r="D2431" s="865" t="s">
        <v>4330</v>
      </c>
      <c r="E2431" s="287" t="s">
        <v>3564</v>
      </c>
      <c r="F2431" s="287" t="s">
        <v>3565</v>
      </c>
      <c r="G2431" s="288" t="s">
        <v>3553</v>
      </c>
    </row>
    <row r="2432" spans="1:7" x14ac:dyDescent="0.2">
      <c r="A2432" s="944">
        <v>39141955500</v>
      </c>
      <c r="B2432" s="239" t="s">
        <v>2438</v>
      </c>
      <c r="C2432" s="286" t="s">
        <v>2975</v>
      </c>
      <c r="D2432" s="865" t="s">
        <v>2975</v>
      </c>
      <c r="E2432" s="287" t="s">
        <v>3564</v>
      </c>
      <c r="F2432" s="287" t="s">
        <v>3565</v>
      </c>
      <c r="G2432" s="288" t="s">
        <v>3568</v>
      </c>
    </row>
    <row r="2433" spans="1:7" x14ac:dyDescent="0.2">
      <c r="A2433" s="944">
        <v>39141955601</v>
      </c>
      <c r="B2433" s="239" t="s">
        <v>2439</v>
      </c>
      <c r="C2433" s="286" t="s">
        <v>2975</v>
      </c>
      <c r="D2433" s="865" t="s">
        <v>2975</v>
      </c>
      <c r="E2433" s="287" t="s">
        <v>3564</v>
      </c>
      <c r="F2433" s="287" t="s">
        <v>3559</v>
      </c>
      <c r="G2433" s="288" t="s">
        <v>3568</v>
      </c>
    </row>
    <row r="2434" spans="1:7" x14ac:dyDescent="0.2">
      <c r="A2434" s="944">
        <v>39141955602</v>
      </c>
      <c r="B2434" s="239" t="s">
        <v>2440</v>
      </c>
      <c r="C2434" s="286" t="s">
        <v>2975</v>
      </c>
      <c r="D2434" s="865" t="s">
        <v>2975</v>
      </c>
      <c r="E2434" s="287" t="s">
        <v>3557</v>
      </c>
      <c r="F2434" s="287" t="s">
        <v>3560</v>
      </c>
      <c r="G2434" s="288" t="s">
        <v>3568</v>
      </c>
    </row>
    <row r="2435" spans="1:7" x14ac:dyDescent="0.2">
      <c r="A2435" s="944">
        <v>39141955603</v>
      </c>
      <c r="B2435" s="239" t="s">
        <v>2441</v>
      </c>
      <c r="C2435" s="286" t="s">
        <v>2975</v>
      </c>
      <c r="D2435" s="865" t="s">
        <v>2975</v>
      </c>
      <c r="E2435" s="287" t="s">
        <v>3564</v>
      </c>
      <c r="F2435" s="287" t="s">
        <v>3558</v>
      </c>
      <c r="G2435" s="288" t="s">
        <v>3568</v>
      </c>
    </row>
    <row r="2436" spans="1:7" x14ac:dyDescent="0.2">
      <c r="A2436" s="944">
        <v>39141955700</v>
      </c>
      <c r="B2436" s="239" t="s">
        <v>2442</v>
      </c>
      <c r="C2436" s="286" t="s">
        <v>2975</v>
      </c>
      <c r="D2436" s="865" t="s">
        <v>2975</v>
      </c>
      <c r="E2436" s="287" t="s">
        <v>3557</v>
      </c>
      <c r="F2436" s="287" t="s">
        <v>3559</v>
      </c>
      <c r="G2436" s="288" t="s">
        <v>3568</v>
      </c>
    </row>
    <row r="2437" spans="1:7" x14ac:dyDescent="0.2">
      <c r="A2437" s="944">
        <v>39141955800</v>
      </c>
      <c r="B2437" s="239" t="s">
        <v>2443</v>
      </c>
      <c r="C2437" s="286" t="s">
        <v>2975</v>
      </c>
      <c r="D2437" s="865" t="s">
        <v>2975</v>
      </c>
      <c r="E2437" s="287" t="s">
        <v>3564</v>
      </c>
      <c r="F2437" s="287" t="s">
        <v>3559</v>
      </c>
      <c r="G2437" s="288" t="s">
        <v>3568</v>
      </c>
    </row>
    <row r="2438" spans="1:7" x14ac:dyDescent="0.2">
      <c r="A2438" s="944">
        <v>39141955900</v>
      </c>
      <c r="B2438" s="239" t="s">
        <v>2444</v>
      </c>
      <c r="C2438" s="286" t="s">
        <v>2975</v>
      </c>
      <c r="D2438" s="865" t="s">
        <v>2975</v>
      </c>
      <c r="E2438" s="287" t="s">
        <v>3563</v>
      </c>
      <c r="F2438" s="287" t="s">
        <v>3565</v>
      </c>
      <c r="G2438" s="288" t="s">
        <v>3568</v>
      </c>
    </row>
    <row r="2439" spans="1:7" x14ac:dyDescent="0.2">
      <c r="A2439" s="944">
        <v>39141956000</v>
      </c>
      <c r="B2439" s="239" t="s">
        <v>2445</v>
      </c>
      <c r="C2439" s="286" t="s">
        <v>2975</v>
      </c>
      <c r="D2439" s="865" t="s">
        <v>2975</v>
      </c>
      <c r="E2439" s="287" t="s">
        <v>3566</v>
      </c>
      <c r="F2439" s="287" t="s">
        <v>5177</v>
      </c>
      <c r="G2439" s="288" t="s">
        <v>3568</v>
      </c>
    </row>
    <row r="2440" spans="1:7" x14ac:dyDescent="0.2">
      <c r="A2440" s="944">
        <v>39141956100</v>
      </c>
      <c r="B2440" s="239" t="s">
        <v>2446</v>
      </c>
      <c r="C2440" s="286" t="s">
        <v>2975</v>
      </c>
      <c r="D2440" s="865" t="s">
        <v>2975</v>
      </c>
      <c r="E2440" s="287" t="s">
        <v>3563</v>
      </c>
      <c r="F2440" s="287" t="s">
        <v>5177</v>
      </c>
      <c r="G2440" s="288" t="s">
        <v>5175</v>
      </c>
    </row>
    <row r="2441" spans="1:7" x14ac:dyDescent="0.2">
      <c r="A2441" s="944">
        <v>39141956200</v>
      </c>
      <c r="B2441" s="239" t="s">
        <v>2447</v>
      </c>
      <c r="C2441" s="286" t="s">
        <v>2975</v>
      </c>
      <c r="D2441" s="865" t="s">
        <v>2975</v>
      </c>
      <c r="E2441" s="287" t="s">
        <v>3564</v>
      </c>
      <c r="F2441" s="287" t="s">
        <v>3558</v>
      </c>
      <c r="G2441" s="288" t="s">
        <v>5175</v>
      </c>
    </row>
    <row r="2442" spans="1:7" x14ac:dyDescent="0.2">
      <c r="A2442" s="944">
        <v>39141956300</v>
      </c>
      <c r="B2442" s="239" t="s">
        <v>2448</v>
      </c>
      <c r="C2442" s="286" t="s">
        <v>2975</v>
      </c>
      <c r="D2442" s="865" t="s">
        <v>4330</v>
      </c>
      <c r="E2442" s="287" t="s">
        <v>3564</v>
      </c>
      <c r="F2442" s="287" t="s">
        <v>3558</v>
      </c>
      <c r="G2442" s="288" t="s">
        <v>3568</v>
      </c>
    </row>
    <row r="2443" spans="1:7" x14ac:dyDescent="0.2">
      <c r="A2443" s="944">
        <v>39141956400</v>
      </c>
      <c r="B2443" s="239" t="s">
        <v>2449</v>
      </c>
      <c r="C2443" s="286" t="s">
        <v>4330</v>
      </c>
      <c r="D2443" s="865" t="s">
        <v>4330</v>
      </c>
      <c r="E2443" s="287" t="s">
        <v>3557</v>
      </c>
      <c r="F2443" s="287" t="s">
        <v>3559</v>
      </c>
      <c r="G2443" s="288" t="s">
        <v>5175</v>
      </c>
    </row>
    <row r="2444" spans="1:7" x14ac:dyDescent="0.2">
      <c r="A2444" s="944">
        <v>39141956500</v>
      </c>
      <c r="B2444" s="239" t="s">
        <v>2450</v>
      </c>
      <c r="C2444" s="286" t="s">
        <v>4330</v>
      </c>
      <c r="D2444" s="865" t="s">
        <v>4330</v>
      </c>
      <c r="E2444" s="287" t="s">
        <v>3557</v>
      </c>
      <c r="F2444" s="287" t="s">
        <v>5176</v>
      </c>
      <c r="G2444" s="288" t="s">
        <v>3568</v>
      </c>
    </row>
    <row r="2445" spans="1:7" x14ac:dyDescent="0.2">
      <c r="A2445" s="944">
        <v>39141956600</v>
      </c>
      <c r="B2445" s="239" t="s">
        <v>2451</v>
      </c>
      <c r="C2445" s="286" t="s">
        <v>2975</v>
      </c>
      <c r="D2445" s="865" t="s">
        <v>2975</v>
      </c>
      <c r="E2445" s="287" t="s">
        <v>3564</v>
      </c>
      <c r="F2445" s="287" t="s">
        <v>5177</v>
      </c>
      <c r="G2445" s="288" t="s">
        <v>3568</v>
      </c>
    </row>
    <row r="2446" spans="1:7" x14ac:dyDescent="0.2">
      <c r="A2446" s="944">
        <v>39141956700</v>
      </c>
      <c r="B2446" s="239" t="s">
        <v>2452</v>
      </c>
      <c r="C2446" s="286" t="s">
        <v>2975</v>
      </c>
      <c r="D2446" s="865" t="s">
        <v>2975</v>
      </c>
      <c r="E2446" s="287" t="s">
        <v>3557</v>
      </c>
      <c r="F2446" s="287" t="s">
        <v>3559</v>
      </c>
      <c r="G2446" s="288" t="s">
        <v>3568</v>
      </c>
    </row>
    <row r="2447" spans="1:7" x14ac:dyDescent="0.2">
      <c r="A2447" s="944">
        <v>39141956800</v>
      </c>
      <c r="B2447" s="239" t="s">
        <v>2453</v>
      </c>
      <c r="C2447" s="286" t="s">
        <v>2975</v>
      </c>
      <c r="D2447" s="865" t="s">
        <v>2975</v>
      </c>
      <c r="E2447" s="287" t="s">
        <v>3557</v>
      </c>
      <c r="F2447" s="287" t="s">
        <v>3558</v>
      </c>
      <c r="G2447" s="288" t="s">
        <v>3568</v>
      </c>
    </row>
    <row r="2448" spans="1:7" x14ac:dyDescent="0.2">
      <c r="A2448" s="944">
        <v>39141956900</v>
      </c>
      <c r="B2448" s="239" t="s">
        <v>2454</v>
      </c>
      <c r="C2448" s="286" t="s">
        <v>4330</v>
      </c>
      <c r="D2448" s="865" t="s">
        <v>4330</v>
      </c>
      <c r="E2448" s="287" t="s">
        <v>3557</v>
      </c>
      <c r="F2448" s="287" t="s">
        <v>5176</v>
      </c>
      <c r="G2448" s="288" t="s">
        <v>3568</v>
      </c>
    </row>
    <row r="2449" spans="1:7" x14ac:dyDescent="0.2">
      <c r="A2449" s="944">
        <v>39143960800</v>
      </c>
      <c r="B2449" s="239" t="s">
        <v>2455</v>
      </c>
      <c r="C2449" s="286" t="s">
        <v>2975</v>
      </c>
      <c r="D2449" s="865" t="s">
        <v>2975</v>
      </c>
      <c r="E2449" s="287" t="s">
        <v>3566</v>
      </c>
      <c r="F2449" s="287" t="s">
        <v>3565</v>
      </c>
      <c r="G2449" s="288" t="s">
        <v>3568</v>
      </c>
    </row>
    <row r="2450" spans="1:7" x14ac:dyDescent="0.2">
      <c r="A2450" s="944">
        <v>39143960900</v>
      </c>
      <c r="B2450" s="239" t="s">
        <v>2456</v>
      </c>
      <c r="C2450" s="286" t="s">
        <v>2975</v>
      </c>
      <c r="D2450" s="865" t="s">
        <v>2975</v>
      </c>
      <c r="E2450" s="287" t="s">
        <v>3563</v>
      </c>
      <c r="F2450" s="287" t="s">
        <v>3558</v>
      </c>
      <c r="G2450" s="288" t="s">
        <v>3568</v>
      </c>
    </row>
    <row r="2451" spans="1:7" x14ac:dyDescent="0.2">
      <c r="A2451" s="944">
        <v>39143961000</v>
      </c>
      <c r="B2451" s="239" t="s">
        <v>2457</v>
      </c>
      <c r="C2451" s="286" t="s">
        <v>2975</v>
      </c>
      <c r="D2451" s="865" t="s">
        <v>2975</v>
      </c>
      <c r="E2451" s="287" t="s">
        <v>3563</v>
      </c>
      <c r="F2451" s="287" t="s">
        <v>3559</v>
      </c>
      <c r="G2451" s="288" t="s">
        <v>3568</v>
      </c>
    </row>
    <row r="2452" spans="1:7" x14ac:dyDescent="0.2">
      <c r="A2452" s="944">
        <v>39143961100</v>
      </c>
      <c r="B2452" s="239" t="s">
        <v>2458</v>
      </c>
      <c r="C2452" s="286" t="s">
        <v>2975</v>
      </c>
      <c r="D2452" s="865" t="s">
        <v>2975</v>
      </c>
      <c r="E2452" s="287" t="s">
        <v>3566</v>
      </c>
      <c r="F2452" s="287" t="s">
        <v>5177</v>
      </c>
      <c r="G2452" s="288" t="s">
        <v>3568</v>
      </c>
    </row>
    <row r="2453" spans="1:7" x14ac:dyDescent="0.2">
      <c r="A2453" s="944">
        <v>39143961200</v>
      </c>
      <c r="B2453" s="239" t="s">
        <v>2459</v>
      </c>
      <c r="C2453" s="286" t="s">
        <v>2975</v>
      </c>
      <c r="D2453" s="865" t="s">
        <v>2975</v>
      </c>
      <c r="E2453" s="287" t="s">
        <v>3563</v>
      </c>
      <c r="F2453" s="287" t="s">
        <v>5177</v>
      </c>
      <c r="G2453" s="288" t="s">
        <v>3568</v>
      </c>
    </row>
    <row r="2454" spans="1:7" x14ac:dyDescent="0.2">
      <c r="A2454" s="944">
        <v>39143961300</v>
      </c>
      <c r="B2454" s="239" t="s">
        <v>2460</v>
      </c>
      <c r="C2454" s="286" t="s">
        <v>2975</v>
      </c>
      <c r="D2454" s="865" t="s">
        <v>2975</v>
      </c>
      <c r="E2454" s="287" t="s">
        <v>3563</v>
      </c>
      <c r="F2454" s="287" t="s">
        <v>3565</v>
      </c>
      <c r="G2454" s="288" t="s">
        <v>3568</v>
      </c>
    </row>
    <row r="2455" spans="1:7" x14ac:dyDescent="0.2">
      <c r="A2455" s="944">
        <v>39143961400</v>
      </c>
      <c r="B2455" s="239" t="s">
        <v>2461</v>
      </c>
      <c r="C2455" s="286" t="s">
        <v>2975</v>
      </c>
      <c r="D2455" s="865" t="s">
        <v>2975</v>
      </c>
      <c r="E2455" s="287" t="s">
        <v>3564</v>
      </c>
      <c r="F2455" s="287" t="s">
        <v>3558</v>
      </c>
      <c r="G2455" s="288" t="s">
        <v>5175</v>
      </c>
    </row>
    <row r="2456" spans="1:7" x14ac:dyDescent="0.2">
      <c r="A2456" s="944">
        <v>39143961500</v>
      </c>
      <c r="B2456" s="239" t="s">
        <v>2462</v>
      </c>
      <c r="C2456" s="286" t="s">
        <v>2975</v>
      </c>
      <c r="D2456" s="865" t="s">
        <v>2975</v>
      </c>
      <c r="E2456" s="287" t="s">
        <v>3564</v>
      </c>
      <c r="F2456" s="287" t="s">
        <v>3565</v>
      </c>
      <c r="G2456" s="288" t="s">
        <v>5175</v>
      </c>
    </row>
    <row r="2457" spans="1:7" x14ac:dyDescent="0.2">
      <c r="A2457" s="944">
        <v>39143961600</v>
      </c>
      <c r="B2457" s="239" t="s">
        <v>2463</v>
      </c>
      <c r="C2457" s="286" t="s">
        <v>2975</v>
      </c>
      <c r="D2457" s="865" t="s">
        <v>4330</v>
      </c>
      <c r="E2457" s="287" t="s">
        <v>3564</v>
      </c>
      <c r="F2457" s="287" t="s">
        <v>3559</v>
      </c>
      <c r="G2457" s="288" t="s">
        <v>3568</v>
      </c>
    </row>
    <row r="2458" spans="1:7" x14ac:dyDescent="0.2">
      <c r="A2458" s="944">
        <v>39143961700</v>
      </c>
      <c r="B2458" s="239" t="s">
        <v>2464</v>
      </c>
      <c r="C2458" s="286" t="s">
        <v>2975</v>
      </c>
      <c r="D2458" s="865" t="s">
        <v>2975</v>
      </c>
      <c r="E2458" s="287" t="s">
        <v>3562</v>
      </c>
      <c r="F2458" s="287" t="s">
        <v>3558</v>
      </c>
      <c r="G2458" s="288" t="s">
        <v>3568</v>
      </c>
    </row>
    <row r="2459" spans="1:7" x14ac:dyDescent="0.2">
      <c r="A2459" s="944">
        <v>39143961800</v>
      </c>
      <c r="B2459" s="239" t="s">
        <v>2465</v>
      </c>
      <c r="C2459" s="286" t="s">
        <v>4330</v>
      </c>
      <c r="D2459" s="865" t="s">
        <v>4330</v>
      </c>
      <c r="E2459" s="287" t="s">
        <v>3566</v>
      </c>
      <c r="F2459" s="287" t="s">
        <v>3565</v>
      </c>
      <c r="G2459" s="288" t="s">
        <v>3568</v>
      </c>
    </row>
    <row r="2460" spans="1:7" x14ac:dyDescent="0.2">
      <c r="A2460" s="944">
        <v>39143961900</v>
      </c>
      <c r="B2460" s="239" t="s">
        <v>2466</v>
      </c>
      <c r="C2460" s="286" t="s">
        <v>2975</v>
      </c>
      <c r="D2460" s="865" t="s">
        <v>2975</v>
      </c>
      <c r="E2460" s="287" t="s">
        <v>3566</v>
      </c>
      <c r="F2460" s="287" t="s">
        <v>5177</v>
      </c>
      <c r="G2460" s="288" t="s">
        <v>3568</v>
      </c>
    </row>
    <row r="2461" spans="1:7" x14ac:dyDescent="0.2">
      <c r="A2461" s="944">
        <v>39143962000</v>
      </c>
      <c r="B2461" s="239" t="s">
        <v>2467</v>
      </c>
      <c r="C2461" s="286" t="s">
        <v>2975</v>
      </c>
      <c r="D2461" s="865" t="s">
        <v>2975</v>
      </c>
      <c r="E2461" s="287" t="s">
        <v>3566</v>
      </c>
      <c r="F2461" s="287" t="s">
        <v>3565</v>
      </c>
      <c r="G2461" s="288" t="s">
        <v>3568</v>
      </c>
    </row>
    <row r="2462" spans="1:7" x14ac:dyDescent="0.2">
      <c r="A2462" s="944">
        <v>39143962100</v>
      </c>
      <c r="B2462" s="239" t="s">
        <v>2468</v>
      </c>
      <c r="C2462" s="286" t="s">
        <v>2975</v>
      </c>
      <c r="D2462" s="865" t="s">
        <v>2975</v>
      </c>
      <c r="E2462" s="287" t="s">
        <v>3562</v>
      </c>
      <c r="F2462" s="287" t="s">
        <v>3559</v>
      </c>
      <c r="G2462" s="288" t="s">
        <v>3568</v>
      </c>
    </row>
    <row r="2463" spans="1:7" x14ac:dyDescent="0.2">
      <c r="A2463" s="944">
        <v>39143962200</v>
      </c>
      <c r="B2463" s="239" t="s">
        <v>2469</v>
      </c>
      <c r="C2463" s="286" t="s">
        <v>2975</v>
      </c>
      <c r="D2463" s="865" t="s">
        <v>2975</v>
      </c>
      <c r="E2463" s="287" t="s">
        <v>3563</v>
      </c>
      <c r="F2463" s="287" t="s">
        <v>3559</v>
      </c>
      <c r="G2463" s="288" t="s">
        <v>5175</v>
      </c>
    </row>
    <row r="2464" spans="1:7" x14ac:dyDescent="0.2">
      <c r="A2464" s="944">
        <v>39145002100</v>
      </c>
      <c r="B2464" s="239" t="s">
        <v>2470</v>
      </c>
      <c r="C2464" s="286" t="s">
        <v>2975</v>
      </c>
      <c r="D2464" s="865" t="s">
        <v>2975</v>
      </c>
      <c r="E2464" s="287" t="s">
        <v>3564</v>
      </c>
      <c r="F2464" s="287" t="s">
        <v>5177</v>
      </c>
      <c r="G2464" s="288" t="s">
        <v>3568</v>
      </c>
    </row>
    <row r="2465" spans="1:7" x14ac:dyDescent="0.2">
      <c r="A2465" s="944">
        <v>39145002200</v>
      </c>
      <c r="B2465" s="239" t="s">
        <v>2471</v>
      </c>
      <c r="C2465" s="286" t="s">
        <v>2975</v>
      </c>
      <c r="D2465" s="865" t="s">
        <v>2975</v>
      </c>
      <c r="E2465" s="287" t="s">
        <v>3564</v>
      </c>
      <c r="F2465" s="287" t="s">
        <v>3559</v>
      </c>
      <c r="G2465" s="288" t="s">
        <v>3568</v>
      </c>
    </row>
    <row r="2466" spans="1:7" x14ac:dyDescent="0.2">
      <c r="A2466" s="944">
        <v>39145002300</v>
      </c>
      <c r="B2466" s="239" t="s">
        <v>2472</v>
      </c>
      <c r="C2466" s="286" t="s">
        <v>2975</v>
      </c>
      <c r="D2466" s="865" t="s">
        <v>2975</v>
      </c>
      <c r="E2466" s="287" t="s">
        <v>3557</v>
      </c>
      <c r="F2466" s="287" t="s">
        <v>3559</v>
      </c>
      <c r="G2466" s="288" t="s">
        <v>3568</v>
      </c>
    </row>
    <row r="2467" spans="1:7" x14ac:dyDescent="0.2">
      <c r="A2467" s="944">
        <v>39145002400</v>
      </c>
      <c r="B2467" s="239" t="s">
        <v>2473</v>
      </c>
      <c r="C2467" s="286" t="s">
        <v>2975</v>
      </c>
      <c r="D2467" s="865" t="s">
        <v>2975</v>
      </c>
      <c r="E2467" s="287" t="s">
        <v>3557</v>
      </c>
      <c r="F2467" s="287" t="s">
        <v>5176</v>
      </c>
      <c r="G2467" s="288" t="s">
        <v>3568</v>
      </c>
    </row>
    <row r="2468" spans="1:7" x14ac:dyDescent="0.2">
      <c r="A2468" s="944">
        <v>39145002500</v>
      </c>
      <c r="B2468" s="239" t="s">
        <v>2474</v>
      </c>
      <c r="C2468" s="286" t="s">
        <v>2975</v>
      </c>
      <c r="D2468" s="865" t="s">
        <v>2975</v>
      </c>
      <c r="E2468" s="287" t="s">
        <v>3557</v>
      </c>
      <c r="F2468" s="287" t="s">
        <v>3559</v>
      </c>
      <c r="G2468" s="288" t="s">
        <v>3568</v>
      </c>
    </row>
    <row r="2469" spans="1:7" x14ac:dyDescent="0.2">
      <c r="A2469" s="944">
        <v>39145002600</v>
      </c>
      <c r="B2469" s="239" t="s">
        <v>2475</v>
      </c>
      <c r="C2469" s="286" t="s">
        <v>2975</v>
      </c>
      <c r="D2469" s="865" t="s">
        <v>2975</v>
      </c>
      <c r="E2469" s="287" t="s">
        <v>3564</v>
      </c>
      <c r="F2469" s="287" t="s">
        <v>3558</v>
      </c>
      <c r="G2469" s="288" t="s">
        <v>3568</v>
      </c>
    </row>
    <row r="2470" spans="1:7" x14ac:dyDescent="0.2">
      <c r="A2470" s="944">
        <v>39145002700</v>
      </c>
      <c r="B2470" s="239" t="s">
        <v>2476</v>
      </c>
      <c r="C2470" s="286" t="s">
        <v>2975</v>
      </c>
      <c r="D2470" s="865" t="s">
        <v>2975</v>
      </c>
      <c r="E2470" s="287" t="s">
        <v>3566</v>
      </c>
      <c r="F2470" s="287" t="s">
        <v>3559</v>
      </c>
      <c r="G2470" s="288" t="s">
        <v>3568</v>
      </c>
    </row>
    <row r="2471" spans="1:7" x14ac:dyDescent="0.2">
      <c r="A2471" s="944">
        <v>39145002800</v>
      </c>
      <c r="B2471" s="239" t="s">
        <v>2477</v>
      </c>
      <c r="C2471" s="286" t="s">
        <v>2975</v>
      </c>
      <c r="D2471" s="865" t="s">
        <v>2975</v>
      </c>
      <c r="E2471" s="287" t="s">
        <v>3564</v>
      </c>
      <c r="F2471" s="287" t="s">
        <v>5177</v>
      </c>
      <c r="G2471" s="288" t="s">
        <v>3568</v>
      </c>
    </row>
    <row r="2472" spans="1:7" x14ac:dyDescent="0.2">
      <c r="A2472" s="944">
        <v>39145002900</v>
      </c>
      <c r="B2472" s="239" t="s">
        <v>2478</v>
      </c>
      <c r="C2472" s="286" t="s">
        <v>2975</v>
      </c>
      <c r="D2472" s="865" t="s">
        <v>2975</v>
      </c>
      <c r="E2472" s="287" t="s">
        <v>3563</v>
      </c>
      <c r="F2472" s="287" t="s">
        <v>3565</v>
      </c>
      <c r="G2472" s="288" t="s">
        <v>3568</v>
      </c>
    </row>
    <row r="2473" spans="1:7" x14ac:dyDescent="0.2">
      <c r="A2473" s="944">
        <v>39145003000</v>
      </c>
      <c r="B2473" s="239" t="s">
        <v>2479</v>
      </c>
      <c r="C2473" s="286" t="s">
        <v>4330</v>
      </c>
      <c r="D2473" s="865" t="s">
        <v>4330</v>
      </c>
      <c r="E2473" s="287" t="s">
        <v>3557</v>
      </c>
      <c r="F2473" s="287" t="s">
        <v>3559</v>
      </c>
      <c r="G2473" s="288" t="s">
        <v>3568</v>
      </c>
    </row>
    <row r="2474" spans="1:7" x14ac:dyDescent="0.2">
      <c r="A2474" s="944">
        <v>39145003100</v>
      </c>
      <c r="B2474" s="239" t="s">
        <v>2480</v>
      </c>
      <c r="C2474" s="286" t="s">
        <v>4330</v>
      </c>
      <c r="D2474" s="865" t="s">
        <v>4330</v>
      </c>
      <c r="E2474" s="287" t="s">
        <v>3557</v>
      </c>
      <c r="F2474" s="287" t="s">
        <v>3565</v>
      </c>
      <c r="G2474" s="288" t="s">
        <v>3568</v>
      </c>
    </row>
    <row r="2475" spans="1:7" x14ac:dyDescent="0.2">
      <c r="A2475" s="944">
        <v>39145003200</v>
      </c>
      <c r="B2475" s="239" t="s">
        <v>2481</v>
      </c>
      <c r="C2475" s="286" t="s">
        <v>4330</v>
      </c>
      <c r="D2475" s="865" t="s">
        <v>4330</v>
      </c>
      <c r="E2475" s="287" t="s">
        <v>3557</v>
      </c>
      <c r="F2475" s="287" t="s">
        <v>3565</v>
      </c>
      <c r="G2475" s="288" t="s">
        <v>3568</v>
      </c>
    </row>
    <row r="2476" spans="1:7" x14ac:dyDescent="0.2">
      <c r="A2476" s="944">
        <v>39145003300</v>
      </c>
      <c r="B2476" s="239" t="s">
        <v>2482</v>
      </c>
      <c r="C2476" s="286" t="s">
        <v>2975</v>
      </c>
      <c r="D2476" s="865" t="s">
        <v>2975</v>
      </c>
      <c r="E2476" s="287" t="s">
        <v>3562</v>
      </c>
      <c r="F2476" s="287" t="s">
        <v>5176</v>
      </c>
      <c r="G2476" s="288" t="s">
        <v>5175</v>
      </c>
    </row>
    <row r="2477" spans="1:7" x14ac:dyDescent="0.2">
      <c r="A2477" s="944">
        <v>39145003400</v>
      </c>
      <c r="B2477" s="239" t="s">
        <v>2483</v>
      </c>
      <c r="C2477" s="286" t="s">
        <v>4330</v>
      </c>
      <c r="D2477" s="865" t="s">
        <v>4330</v>
      </c>
      <c r="E2477" s="287" t="s">
        <v>3557</v>
      </c>
      <c r="F2477" s="287" t="s">
        <v>3565</v>
      </c>
      <c r="G2477" s="288" t="s">
        <v>5175</v>
      </c>
    </row>
    <row r="2478" spans="1:7" x14ac:dyDescent="0.2">
      <c r="A2478" s="944">
        <v>39145003500</v>
      </c>
      <c r="B2478" s="239" t="s">
        <v>2484</v>
      </c>
      <c r="C2478" s="286" t="s">
        <v>4330</v>
      </c>
      <c r="D2478" s="865" t="s">
        <v>4330</v>
      </c>
      <c r="E2478" s="287" t="s">
        <v>3557</v>
      </c>
      <c r="F2478" s="287" t="s">
        <v>3558</v>
      </c>
      <c r="G2478" s="288" t="s">
        <v>5175</v>
      </c>
    </row>
    <row r="2479" spans="1:7" x14ac:dyDescent="0.2">
      <c r="A2479" s="944">
        <v>39145003600</v>
      </c>
      <c r="B2479" s="239" t="s">
        <v>2485</v>
      </c>
      <c r="C2479" s="286" t="s">
        <v>4330</v>
      </c>
      <c r="D2479" s="865" t="s">
        <v>4330</v>
      </c>
      <c r="E2479" s="287" t="s">
        <v>3557</v>
      </c>
      <c r="F2479" s="287" t="s">
        <v>5177</v>
      </c>
      <c r="G2479" s="288" t="s">
        <v>5175</v>
      </c>
    </row>
    <row r="2480" spans="1:7" x14ac:dyDescent="0.2">
      <c r="A2480" s="944">
        <v>39145003700</v>
      </c>
      <c r="B2480" s="239" t="s">
        <v>2486</v>
      </c>
      <c r="C2480" s="286" t="s">
        <v>4330</v>
      </c>
      <c r="D2480" s="865" t="s">
        <v>4330</v>
      </c>
      <c r="E2480" s="287" t="s">
        <v>3557</v>
      </c>
      <c r="F2480" s="287" t="s">
        <v>5176</v>
      </c>
      <c r="G2480" s="288" t="s">
        <v>5175</v>
      </c>
    </row>
    <row r="2481" spans="1:7" x14ac:dyDescent="0.2">
      <c r="A2481" s="944">
        <v>39145003800</v>
      </c>
      <c r="B2481" s="239" t="s">
        <v>2487</v>
      </c>
      <c r="C2481" s="286" t="s">
        <v>2975</v>
      </c>
      <c r="D2481" s="865" t="s">
        <v>2975</v>
      </c>
      <c r="E2481" s="287" t="s">
        <v>3564</v>
      </c>
      <c r="F2481" s="287" t="s">
        <v>3565</v>
      </c>
      <c r="G2481" s="288" t="s">
        <v>3568</v>
      </c>
    </row>
    <row r="2482" spans="1:7" x14ac:dyDescent="0.2">
      <c r="A2482" s="944">
        <v>39145003900</v>
      </c>
      <c r="B2482" s="239" t="s">
        <v>2488</v>
      </c>
      <c r="C2482" s="286" t="s">
        <v>2975</v>
      </c>
      <c r="D2482" s="865" t="s">
        <v>2975</v>
      </c>
      <c r="E2482" s="287" t="s">
        <v>3557</v>
      </c>
      <c r="F2482" s="287" t="s">
        <v>3558</v>
      </c>
      <c r="G2482" s="288" t="s">
        <v>3568</v>
      </c>
    </row>
    <row r="2483" spans="1:7" x14ac:dyDescent="0.2">
      <c r="A2483" s="944">
        <v>39145004000</v>
      </c>
      <c r="B2483" s="239" t="s">
        <v>2489</v>
      </c>
      <c r="C2483" s="286" t="s">
        <v>2975</v>
      </c>
      <c r="D2483" s="865" t="s">
        <v>2975</v>
      </c>
      <c r="E2483" s="287" t="s">
        <v>3557</v>
      </c>
      <c r="F2483" s="287" t="s">
        <v>3565</v>
      </c>
      <c r="G2483" s="288" t="s">
        <v>3568</v>
      </c>
    </row>
    <row r="2484" spans="1:7" x14ac:dyDescent="0.2">
      <c r="A2484" s="944">
        <v>39147962500</v>
      </c>
      <c r="B2484" s="239" t="s">
        <v>2490</v>
      </c>
      <c r="C2484" s="286" t="s">
        <v>2975</v>
      </c>
      <c r="D2484" s="865" t="s">
        <v>2975</v>
      </c>
      <c r="E2484" s="287" t="s">
        <v>3566</v>
      </c>
      <c r="F2484" s="287" t="s">
        <v>3558</v>
      </c>
      <c r="G2484" s="288" t="s">
        <v>3568</v>
      </c>
    </row>
    <row r="2485" spans="1:7" x14ac:dyDescent="0.2">
      <c r="A2485" s="944">
        <v>39147962600</v>
      </c>
      <c r="B2485" s="239" t="s">
        <v>2491</v>
      </c>
      <c r="C2485" s="286" t="s">
        <v>2975</v>
      </c>
      <c r="D2485" s="865" t="s">
        <v>2975</v>
      </c>
      <c r="E2485" s="287" t="s">
        <v>3566</v>
      </c>
      <c r="F2485" s="287" t="s">
        <v>3558</v>
      </c>
      <c r="G2485" s="288" t="s">
        <v>3568</v>
      </c>
    </row>
    <row r="2486" spans="1:7" x14ac:dyDescent="0.2">
      <c r="A2486" s="944">
        <v>39147962700</v>
      </c>
      <c r="B2486" s="239" t="s">
        <v>2492</v>
      </c>
      <c r="C2486" s="286" t="s">
        <v>2975</v>
      </c>
      <c r="D2486" s="865" t="s">
        <v>2975</v>
      </c>
      <c r="E2486" s="287" t="s">
        <v>3566</v>
      </c>
      <c r="F2486" s="287" t="s">
        <v>3559</v>
      </c>
      <c r="G2486" s="288" t="s">
        <v>3568</v>
      </c>
    </row>
    <row r="2487" spans="1:7" x14ac:dyDescent="0.2">
      <c r="A2487" s="944">
        <v>39147962800</v>
      </c>
      <c r="B2487" s="239" t="s">
        <v>2493</v>
      </c>
      <c r="C2487" s="286" t="s">
        <v>4330</v>
      </c>
      <c r="D2487" s="865" t="s">
        <v>2975</v>
      </c>
      <c r="E2487" s="287" t="s">
        <v>3564</v>
      </c>
      <c r="F2487" s="287" t="s">
        <v>5176</v>
      </c>
      <c r="G2487" s="288" t="s">
        <v>3568</v>
      </c>
    </row>
    <row r="2488" spans="1:7" x14ac:dyDescent="0.2">
      <c r="A2488" s="944">
        <v>39147962900</v>
      </c>
      <c r="B2488" s="239" t="s">
        <v>2494</v>
      </c>
      <c r="C2488" s="286" t="s">
        <v>4330</v>
      </c>
      <c r="D2488" s="865" t="s">
        <v>4330</v>
      </c>
      <c r="E2488" s="287" t="s">
        <v>3564</v>
      </c>
      <c r="F2488" s="287" t="s">
        <v>5177</v>
      </c>
      <c r="G2488" s="288" t="s">
        <v>5175</v>
      </c>
    </row>
    <row r="2489" spans="1:7" x14ac:dyDescent="0.2">
      <c r="A2489" s="944">
        <v>39147963000</v>
      </c>
      <c r="B2489" s="239" t="s">
        <v>2495</v>
      </c>
      <c r="C2489" s="286" t="s">
        <v>4330</v>
      </c>
      <c r="D2489" s="865" t="s">
        <v>4330</v>
      </c>
      <c r="E2489" s="287" t="s">
        <v>3557</v>
      </c>
      <c r="F2489" s="287" t="s">
        <v>3559</v>
      </c>
      <c r="G2489" s="288" t="s">
        <v>3568</v>
      </c>
    </row>
    <row r="2490" spans="1:7" x14ac:dyDescent="0.2">
      <c r="A2490" s="944">
        <v>39147963100</v>
      </c>
      <c r="B2490" s="239" t="s">
        <v>2496</v>
      </c>
      <c r="C2490" s="286" t="s">
        <v>2975</v>
      </c>
      <c r="D2490" s="865" t="s">
        <v>2975</v>
      </c>
      <c r="E2490" s="287" t="s">
        <v>3563</v>
      </c>
      <c r="F2490" s="287" t="s">
        <v>3565</v>
      </c>
      <c r="G2490" s="288" t="s">
        <v>3568</v>
      </c>
    </row>
    <row r="2491" spans="1:7" x14ac:dyDescent="0.2">
      <c r="A2491" s="944">
        <v>39147963200</v>
      </c>
      <c r="B2491" s="239" t="s">
        <v>2497</v>
      </c>
      <c r="C2491" s="286" t="s">
        <v>2975</v>
      </c>
      <c r="D2491" s="865" t="s">
        <v>2975</v>
      </c>
      <c r="E2491" s="287" t="s">
        <v>3563</v>
      </c>
      <c r="F2491" s="287" t="s">
        <v>3558</v>
      </c>
      <c r="G2491" s="288" t="s">
        <v>3568</v>
      </c>
    </row>
    <row r="2492" spans="1:7" x14ac:dyDescent="0.2">
      <c r="A2492" s="944">
        <v>39147963300</v>
      </c>
      <c r="B2492" s="239" t="s">
        <v>2498</v>
      </c>
      <c r="C2492" s="286" t="s">
        <v>2975</v>
      </c>
      <c r="D2492" s="865" t="s">
        <v>2975</v>
      </c>
      <c r="E2492" s="287" t="s">
        <v>3563</v>
      </c>
      <c r="F2492" s="287" t="s">
        <v>3558</v>
      </c>
      <c r="G2492" s="288" t="s">
        <v>3568</v>
      </c>
    </row>
    <row r="2493" spans="1:7" x14ac:dyDescent="0.2">
      <c r="A2493" s="944">
        <v>39147963400</v>
      </c>
      <c r="B2493" s="239" t="s">
        <v>2499</v>
      </c>
      <c r="C2493" s="286" t="s">
        <v>2975</v>
      </c>
      <c r="D2493" s="865" t="s">
        <v>2975</v>
      </c>
      <c r="E2493" s="287" t="s">
        <v>3566</v>
      </c>
      <c r="F2493" s="287" t="s">
        <v>5177</v>
      </c>
      <c r="G2493" s="288" t="s">
        <v>3568</v>
      </c>
    </row>
    <row r="2494" spans="1:7" x14ac:dyDescent="0.2">
      <c r="A2494" s="944">
        <v>39147963500</v>
      </c>
      <c r="B2494" s="239" t="s">
        <v>2500</v>
      </c>
      <c r="C2494" s="286" t="s">
        <v>2975</v>
      </c>
      <c r="D2494" s="865" t="s">
        <v>2975</v>
      </c>
      <c r="E2494" s="287" t="s">
        <v>3566</v>
      </c>
      <c r="F2494" s="287" t="s">
        <v>5176</v>
      </c>
      <c r="G2494" s="288" t="s">
        <v>5175</v>
      </c>
    </row>
    <row r="2495" spans="1:7" x14ac:dyDescent="0.2">
      <c r="A2495" s="944">
        <v>39147963600</v>
      </c>
      <c r="B2495" s="239" t="s">
        <v>2501</v>
      </c>
      <c r="C2495" s="286" t="s">
        <v>2975</v>
      </c>
      <c r="D2495" s="865" t="s">
        <v>2975</v>
      </c>
      <c r="E2495" s="287" t="s">
        <v>3563</v>
      </c>
      <c r="F2495" s="287" t="s">
        <v>3565</v>
      </c>
      <c r="G2495" s="288" t="s">
        <v>3568</v>
      </c>
    </row>
    <row r="2496" spans="1:7" x14ac:dyDescent="0.2">
      <c r="A2496" s="944">
        <v>39147963700</v>
      </c>
      <c r="B2496" s="239" t="s">
        <v>2502</v>
      </c>
      <c r="C2496" s="286" t="s">
        <v>2975</v>
      </c>
      <c r="D2496" s="865" t="s">
        <v>2975</v>
      </c>
      <c r="E2496" s="287" t="s">
        <v>3562</v>
      </c>
      <c r="F2496" s="287" t="s">
        <v>3558</v>
      </c>
      <c r="G2496" s="288" t="s">
        <v>3568</v>
      </c>
    </row>
    <row r="2497" spans="1:7" x14ac:dyDescent="0.2">
      <c r="A2497" s="944">
        <v>39147963800</v>
      </c>
      <c r="B2497" s="239" t="s">
        <v>2503</v>
      </c>
      <c r="C2497" s="286" t="s">
        <v>2975</v>
      </c>
      <c r="D2497" s="865" t="s">
        <v>2975</v>
      </c>
      <c r="E2497" s="287" t="s">
        <v>3566</v>
      </c>
      <c r="F2497" s="287" t="s">
        <v>3558</v>
      </c>
      <c r="G2497" s="288" t="s">
        <v>3568</v>
      </c>
    </row>
    <row r="2498" spans="1:7" x14ac:dyDescent="0.2">
      <c r="A2498" s="944">
        <v>39149971400</v>
      </c>
      <c r="B2498" s="239" t="s">
        <v>2504</v>
      </c>
      <c r="C2498" s="286" t="s">
        <v>2975</v>
      </c>
      <c r="D2498" s="865" t="s">
        <v>2975</v>
      </c>
      <c r="E2498" s="287" t="s">
        <v>3563</v>
      </c>
      <c r="F2498" s="287" t="s">
        <v>3565</v>
      </c>
      <c r="G2498" s="288" t="s">
        <v>3568</v>
      </c>
    </row>
    <row r="2499" spans="1:7" x14ac:dyDescent="0.2">
      <c r="A2499" s="944">
        <v>39149971500</v>
      </c>
      <c r="B2499" s="239" t="s">
        <v>2505</v>
      </c>
      <c r="C2499" s="286" t="s">
        <v>2975</v>
      </c>
      <c r="D2499" s="865" t="s">
        <v>2975</v>
      </c>
      <c r="E2499" s="287" t="s">
        <v>3562</v>
      </c>
      <c r="F2499" s="287" t="s">
        <v>3565</v>
      </c>
      <c r="G2499" s="288" t="s">
        <v>3568</v>
      </c>
    </row>
    <row r="2500" spans="1:7" x14ac:dyDescent="0.2">
      <c r="A2500" s="944">
        <v>39149971600</v>
      </c>
      <c r="B2500" s="239" t="s">
        <v>2506</v>
      </c>
      <c r="C2500" s="286" t="s">
        <v>2975</v>
      </c>
      <c r="D2500" s="865" t="s">
        <v>2975</v>
      </c>
      <c r="E2500" s="287" t="s">
        <v>3562</v>
      </c>
      <c r="F2500" s="287" t="s">
        <v>3558</v>
      </c>
      <c r="G2500" s="288" t="s">
        <v>3568</v>
      </c>
    </row>
    <row r="2501" spans="1:7" x14ac:dyDescent="0.2">
      <c r="A2501" s="944">
        <v>39149971700</v>
      </c>
      <c r="B2501" s="239" t="s">
        <v>2507</v>
      </c>
      <c r="C2501" s="286" t="s">
        <v>2975</v>
      </c>
      <c r="D2501" s="865" t="s">
        <v>2975</v>
      </c>
      <c r="E2501" s="287" t="s">
        <v>3562</v>
      </c>
      <c r="F2501" s="287" t="s">
        <v>5177</v>
      </c>
      <c r="G2501" s="288" t="s">
        <v>3568</v>
      </c>
    </row>
    <row r="2502" spans="1:7" x14ac:dyDescent="0.2">
      <c r="A2502" s="944">
        <v>39149971800</v>
      </c>
      <c r="B2502" s="239" t="s">
        <v>2508</v>
      </c>
      <c r="C2502" s="286" t="s">
        <v>2975</v>
      </c>
      <c r="D2502" s="865" t="s">
        <v>2975</v>
      </c>
      <c r="E2502" s="287" t="s">
        <v>3566</v>
      </c>
      <c r="F2502" s="287" t="s">
        <v>3559</v>
      </c>
      <c r="G2502" s="288" t="s">
        <v>3568</v>
      </c>
    </row>
    <row r="2503" spans="1:7" x14ac:dyDescent="0.2">
      <c r="A2503" s="944">
        <v>39149971900</v>
      </c>
      <c r="B2503" s="239" t="s">
        <v>2509</v>
      </c>
      <c r="C2503" s="286" t="s">
        <v>2975</v>
      </c>
      <c r="D2503" s="865" t="s">
        <v>2975</v>
      </c>
      <c r="E2503" s="287" t="s">
        <v>3566</v>
      </c>
      <c r="F2503" s="287" t="s">
        <v>3558</v>
      </c>
      <c r="G2503" s="288" t="s">
        <v>3568</v>
      </c>
    </row>
    <row r="2504" spans="1:7" x14ac:dyDescent="0.2">
      <c r="A2504" s="944">
        <v>39149972000</v>
      </c>
      <c r="B2504" s="239" t="s">
        <v>2510</v>
      </c>
      <c r="C2504" s="286" t="s">
        <v>4330</v>
      </c>
      <c r="D2504" s="865" t="s">
        <v>4330</v>
      </c>
      <c r="E2504" s="287" t="s">
        <v>3557</v>
      </c>
      <c r="F2504" s="287" t="s">
        <v>5177</v>
      </c>
      <c r="G2504" s="288" t="s">
        <v>5175</v>
      </c>
    </row>
    <row r="2505" spans="1:7" x14ac:dyDescent="0.2">
      <c r="A2505" s="944">
        <v>39149972100</v>
      </c>
      <c r="B2505" s="239" t="s">
        <v>2511</v>
      </c>
      <c r="C2505" s="286" t="s">
        <v>2975</v>
      </c>
      <c r="D2505" s="865" t="s">
        <v>2975</v>
      </c>
      <c r="E2505" s="287" t="s">
        <v>3563</v>
      </c>
      <c r="F2505" s="287" t="s">
        <v>3559</v>
      </c>
      <c r="G2505" s="288" t="s">
        <v>3568</v>
      </c>
    </row>
    <row r="2506" spans="1:7" x14ac:dyDescent="0.2">
      <c r="A2506" s="944">
        <v>39149972200</v>
      </c>
      <c r="B2506" s="239" t="s">
        <v>2512</v>
      </c>
      <c r="C2506" s="286" t="s">
        <v>2975</v>
      </c>
      <c r="D2506" s="865" t="s">
        <v>2975</v>
      </c>
      <c r="E2506" s="287" t="s">
        <v>3566</v>
      </c>
      <c r="F2506" s="287" t="s">
        <v>5176</v>
      </c>
      <c r="G2506" s="288" t="s">
        <v>3568</v>
      </c>
    </row>
    <row r="2507" spans="1:7" x14ac:dyDescent="0.2">
      <c r="A2507" s="944">
        <v>39149972300</v>
      </c>
      <c r="B2507" s="239" t="s">
        <v>2513</v>
      </c>
      <c r="C2507" s="286" t="s">
        <v>2975</v>
      </c>
      <c r="D2507" s="865" t="s">
        <v>2975</v>
      </c>
      <c r="E2507" s="287" t="s">
        <v>3563</v>
      </c>
      <c r="F2507" s="287" t="s">
        <v>5176</v>
      </c>
      <c r="G2507" s="288" t="s">
        <v>3568</v>
      </c>
    </row>
    <row r="2508" spans="1:7" x14ac:dyDescent="0.2">
      <c r="A2508" s="944">
        <v>39151700100</v>
      </c>
      <c r="B2508" s="239" t="s">
        <v>2514</v>
      </c>
      <c r="C2508" s="286" t="s">
        <v>4330</v>
      </c>
      <c r="D2508" s="865" t="s">
        <v>4330</v>
      </c>
      <c r="E2508" s="287" t="s">
        <v>3557</v>
      </c>
      <c r="F2508" s="287" t="s">
        <v>5176</v>
      </c>
      <c r="G2508" s="288" t="s">
        <v>3553</v>
      </c>
    </row>
    <row r="2509" spans="1:7" x14ac:dyDescent="0.2">
      <c r="A2509" s="944">
        <v>39151700200</v>
      </c>
      <c r="B2509" s="239" t="s">
        <v>2515</v>
      </c>
      <c r="C2509" s="286" t="s">
        <v>4330</v>
      </c>
      <c r="D2509" s="865" t="s">
        <v>2975</v>
      </c>
      <c r="E2509" s="287" t="s">
        <v>3557</v>
      </c>
      <c r="F2509" s="287" t="s">
        <v>5176</v>
      </c>
      <c r="G2509" s="288" t="s">
        <v>3569</v>
      </c>
    </row>
    <row r="2510" spans="1:7" x14ac:dyDescent="0.2">
      <c r="A2510" s="944">
        <v>39151700300</v>
      </c>
      <c r="B2510" s="239" t="s">
        <v>2516</v>
      </c>
      <c r="C2510" s="286" t="s">
        <v>4330</v>
      </c>
      <c r="D2510" s="865" t="s">
        <v>4330</v>
      </c>
      <c r="E2510" s="287" t="s">
        <v>3566</v>
      </c>
      <c r="F2510" s="287" t="s">
        <v>3558</v>
      </c>
      <c r="G2510" s="288" t="s">
        <v>3553</v>
      </c>
    </row>
    <row r="2511" spans="1:7" x14ac:dyDescent="0.2">
      <c r="A2511" s="944">
        <v>39151700400</v>
      </c>
      <c r="B2511" s="239" t="s">
        <v>2517</v>
      </c>
      <c r="C2511" s="286" t="s">
        <v>2975</v>
      </c>
      <c r="D2511" s="865" t="s">
        <v>2975</v>
      </c>
      <c r="E2511" s="287" t="s">
        <v>3563</v>
      </c>
      <c r="F2511" s="287" t="s">
        <v>3565</v>
      </c>
      <c r="G2511" s="288" t="s">
        <v>3553</v>
      </c>
    </row>
    <row r="2512" spans="1:7" x14ac:dyDescent="0.2">
      <c r="A2512" s="944">
        <v>39151700500</v>
      </c>
      <c r="B2512" s="239" t="s">
        <v>2518</v>
      </c>
      <c r="C2512" s="286" t="s">
        <v>4330</v>
      </c>
      <c r="D2512" s="865" t="s">
        <v>4330</v>
      </c>
      <c r="E2512" s="287" t="s">
        <v>3566</v>
      </c>
      <c r="F2512" s="287" t="s">
        <v>3560</v>
      </c>
      <c r="G2512" s="288" t="s">
        <v>3553</v>
      </c>
    </row>
    <row r="2513" spans="1:7" x14ac:dyDescent="0.2">
      <c r="A2513" s="944">
        <v>39151700600</v>
      </c>
      <c r="B2513" s="239" t="s">
        <v>2519</v>
      </c>
      <c r="C2513" s="286" t="s">
        <v>2975</v>
      </c>
      <c r="D2513" s="865" t="s">
        <v>2975</v>
      </c>
      <c r="E2513" s="287" t="s">
        <v>3563</v>
      </c>
      <c r="F2513" s="287" t="s">
        <v>3558</v>
      </c>
      <c r="G2513" s="288" t="s">
        <v>3553</v>
      </c>
    </row>
    <row r="2514" spans="1:7" x14ac:dyDescent="0.2">
      <c r="A2514" s="944">
        <v>39151700700</v>
      </c>
      <c r="B2514" s="239" t="s">
        <v>2520</v>
      </c>
      <c r="C2514" s="286" t="s">
        <v>2975</v>
      </c>
      <c r="D2514" s="865" t="s">
        <v>2975</v>
      </c>
      <c r="E2514" s="287" t="s">
        <v>3562</v>
      </c>
      <c r="F2514" s="287" t="s">
        <v>3559</v>
      </c>
      <c r="G2514" s="288" t="s">
        <v>3553</v>
      </c>
    </row>
    <row r="2515" spans="1:7" x14ac:dyDescent="0.2">
      <c r="A2515" s="944">
        <v>39151700800</v>
      </c>
      <c r="B2515" s="239" t="s">
        <v>2521</v>
      </c>
      <c r="C2515" s="286" t="s">
        <v>2975</v>
      </c>
      <c r="D2515" s="865" t="s">
        <v>4330</v>
      </c>
      <c r="E2515" s="287" t="s">
        <v>3566</v>
      </c>
      <c r="F2515" s="287" t="s">
        <v>3558</v>
      </c>
      <c r="G2515" s="288" t="s">
        <v>3553</v>
      </c>
    </row>
    <row r="2516" spans="1:7" x14ac:dyDescent="0.2">
      <c r="A2516" s="944">
        <v>39151701000</v>
      </c>
      <c r="B2516" s="239" t="s">
        <v>2522</v>
      </c>
      <c r="C2516" s="286" t="s">
        <v>4330</v>
      </c>
      <c r="D2516" s="865" t="s">
        <v>4330</v>
      </c>
      <c r="E2516" s="287" t="s">
        <v>3566</v>
      </c>
      <c r="F2516" s="287" t="s">
        <v>3558</v>
      </c>
      <c r="G2516" s="288" t="s">
        <v>3553</v>
      </c>
    </row>
    <row r="2517" spans="1:7" x14ac:dyDescent="0.2">
      <c r="A2517" s="944">
        <v>39151701100</v>
      </c>
      <c r="B2517" s="239" t="s">
        <v>2523</v>
      </c>
      <c r="C2517" s="286" t="s">
        <v>2975</v>
      </c>
      <c r="D2517" s="865" t="s">
        <v>2975</v>
      </c>
      <c r="E2517" s="287" t="s">
        <v>3563</v>
      </c>
      <c r="F2517" s="287" t="s">
        <v>3565</v>
      </c>
      <c r="G2517" s="288" t="s">
        <v>3553</v>
      </c>
    </row>
    <row r="2518" spans="1:7" x14ac:dyDescent="0.2">
      <c r="A2518" s="944">
        <v>39151701200</v>
      </c>
      <c r="B2518" s="239" t="s">
        <v>2524</v>
      </c>
      <c r="C2518" s="286" t="s">
        <v>2975</v>
      </c>
      <c r="D2518" s="865" t="s">
        <v>2975</v>
      </c>
      <c r="E2518" s="287" t="s">
        <v>3563</v>
      </c>
      <c r="F2518" s="287" t="s">
        <v>5177</v>
      </c>
      <c r="G2518" s="288" t="s">
        <v>3553</v>
      </c>
    </row>
    <row r="2519" spans="1:7" x14ac:dyDescent="0.2">
      <c r="A2519" s="944">
        <v>39151701300</v>
      </c>
      <c r="B2519" s="239" t="s">
        <v>2525</v>
      </c>
      <c r="C2519" s="286" t="s">
        <v>4330</v>
      </c>
      <c r="D2519" s="865" t="s">
        <v>4330</v>
      </c>
      <c r="E2519" s="287" t="s">
        <v>3563</v>
      </c>
      <c r="F2519" s="287" t="s">
        <v>3558</v>
      </c>
      <c r="G2519" s="288" t="s">
        <v>3553</v>
      </c>
    </row>
    <row r="2520" spans="1:7" x14ac:dyDescent="0.2">
      <c r="A2520" s="944">
        <v>39151701500</v>
      </c>
      <c r="B2520" s="239" t="s">
        <v>2526</v>
      </c>
      <c r="C2520" s="286" t="s">
        <v>4330</v>
      </c>
      <c r="D2520" s="865" t="s">
        <v>4330</v>
      </c>
      <c r="E2520" s="287" t="s">
        <v>3564</v>
      </c>
      <c r="F2520" s="287" t="s">
        <v>3558</v>
      </c>
      <c r="G2520" s="288" t="s">
        <v>3553</v>
      </c>
    </row>
    <row r="2521" spans="1:7" x14ac:dyDescent="0.2">
      <c r="A2521" s="944">
        <v>39151701700</v>
      </c>
      <c r="B2521" s="239" t="s">
        <v>2527</v>
      </c>
      <c r="C2521" s="286" t="s">
        <v>4330</v>
      </c>
      <c r="D2521" s="865" t="s">
        <v>4330</v>
      </c>
      <c r="E2521" s="287" t="s">
        <v>3564</v>
      </c>
      <c r="F2521" s="287" t="s">
        <v>3558</v>
      </c>
      <c r="G2521" s="288" t="s">
        <v>3553</v>
      </c>
    </row>
    <row r="2522" spans="1:7" x14ac:dyDescent="0.2">
      <c r="A2522" s="944">
        <v>39151701800</v>
      </c>
      <c r="B2522" s="239" t="s">
        <v>2528</v>
      </c>
      <c r="C2522" s="286" t="s">
        <v>4330</v>
      </c>
      <c r="D2522" s="865" t="s">
        <v>4330</v>
      </c>
      <c r="E2522" s="287" t="s">
        <v>3564</v>
      </c>
      <c r="F2522" s="287" t="s">
        <v>3565</v>
      </c>
      <c r="G2522" s="288" t="s">
        <v>3553</v>
      </c>
    </row>
    <row r="2523" spans="1:7" x14ac:dyDescent="0.2">
      <c r="A2523" s="944">
        <v>39151702100</v>
      </c>
      <c r="B2523" s="239" t="s">
        <v>2529</v>
      </c>
      <c r="C2523" s="286" t="s">
        <v>4330</v>
      </c>
      <c r="D2523" s="865" t="s">
        <v>4330</v>
      </c>
      <c r="E2523" s="287" t="s">
        <v>3564</v>
      </c>
      <c r="F2523" s="287" t="s">
        <v>3558</v>
      </c>
      <c r="G2523" s="288" t="s">
        <v>3553</v>
      </c>
    </row>
    <row r="2524" spans="1:7" x14ac:dyDescent="0.2">
      <c r="A2524" s="944">
        <v>39151702300</v>
      </c>
      <c r="B2524" s="239" t="s">
        <v>2530</v>
      </c>
      <c r="C2524" s="286" t="s">
        <v>4330</v>
      </c>
      <c r="D2524" s="865" t="s">
        <v>4330</v>
      </c>
      <c r="E2524" s="287" t="s">
        <v>3557</v>
      </c>
      <c r="F2524" s="287" t="s">
        <v>5176</v>
      </c>
      <c r="G2524" s="288" t="s">
        <v>3569</v>
      </c>
    </row>
    <row r="2525" spans="1:7" x14ac:dyDescent="0.2">
      <c r="A2525" s="944">
        <v>39151702500</v>
      </c>
      <c r="B2525" s="239" t="s">
        <v>2531</v>
      </c>
      <c r="C2525" s="286" t="s">
        <v>4330</v>
      </c>
      <c r="D2525" s="865" t="s">
        <v>4330</v>
      </c>
      <c r="E2525" s="287" t="s">
        <v>3566</v>
      </c>
      <c r="F2525" s="287" t="s">
        <v>3559</v>
      </c>
      <c r="G2525" s="288" t="s">
        <v>3553</v>
      </c>
    </row>
    <row r="2526" spans="1:7" x14ac:dyDescent="0.2">
      <c r="A2526" s="944">
        <v>39151710200</v>
      </c>
      <c r="B2526" s="239" t="s">
        <v>2532</v>
      </c>
      <c r="C2526" s="286" t="s">
        <v>4330</v>
      </c>
      <c r="D2526" s="865" t="s">
        <v>4330</v>
      </c>
      <c r="E2526" s="287" t="s">
        <v>3557</v>
      </c>
      <c r="F2526" s="287" t="s">
        <v>3565</v>
      </c>
      <c r="G2526" s="288" t="s">
        <v>5175</v>
      </c>
    </row>
    <row r="2527" spans="1:7" x14ac:dyDescent="0.2">
      <c r="A2527" s="944">
        <v>39151710300</v>
      </c>
      <c r="B2527" s="239" t="s">
        <v>2533</v>
      </c>
      <c r="C2527" s="286" t="s">
        <v>2975</v>
      </c>
      <c r="D2527" s="865" t="s">
        <v>2975</v>
      </c>
      <c r="E2527" s="287" t="s">
        <v>3566</v>
      </c>
      <c r="F2527" s="287" t="s">
        <v>5177</v>
      </c>
      <c r="G2527" s="288" t="s">
        <v>5175</v>
      </c>
    </row>
    <row r="2528" spans="1:7" x14ac:dyDescent="0.2">
      <c r="A2528" s="944">
        <v>39151710400</v>
      </c>
      <c r="B2528" s="239" t="s">
        <v>2534</v>
      </c>
      <c r="C2528" s="286" t="s">
        <v>4330</v>
      </c>
      <c r="D2528" s="865" t="s">
        <v>4330</v>
      </c>
      <c r="E2528" s="287" t="s">
        <v>3557</v>
      </c>
      <c r="F2528" s="287" t="s">
        <v>5177</v>
      </c>
      <c r="G2528" s="288" t="s">
        <v>5175</v>
      </c>
    </row>
    <row r="2529" spans="1:7" x14ac:dyDescent="0.2">
      <c r="A2529" s="944">
        <v>39151710500</v>
      </c>
      <c r="B2529" s="239" t="s">
        <v>2535</v>
      </c>
      <c r="C2529" s="286" t="s">
        <v>4330</v>
      </c>
      <c r="D2529" s="865" t="s">
        <v>4330</v>
      </c>
      <c r="E2529" s="287" t="s">
        <v>3557</v>
      </c>
      <c r="F2529" s="287" t="s">
        <v>3565</v>
      </c>
      <c r="G2529" s="288" t="s">
        <v>5175</v>
      </c>
    </row>
    <row r="2530" spans="1:7" x14ac:dyDescent="0.2">
      <c r="A2530" s="944">
        <v>39151710600</v>
      </c>
      <c r="B2530" s="239" t="s">
        <v>2536</v>
      </c>
      <c r="C2530" s="286" t="s">
        <v>2975</v>
      </c>
      <c r="D2530" s="865" t="s">
        <v>2975</v>
      </c>
      <c r="E2530" s="287" t="s">
        <v>3562</v>
      </c>
      <c r="F2530" s="287" t="s">
        <v>3558</v>
      </c>
      <c r="G2530" s="288" t="s">
        <v>3568</v>
      </c>
    </row>
    <row r="2531" spans="1:7" x14ac:dyDescent="0.2">
      <c r="A2531" s="944">
        <v>39151710700</v>
      </c>
      <c r="B2531" s="239" t="s">
        <v>2537</v>
      </c>
      <c r="C2531" s="286" t="s">
        <v>2975</v>
      </c>
      <c r="D2531" s="865" t="s">
        <v>2975</v>
      </c>
      <c r="E2531" s="287" t="s">
        <v>3562</v>
      </c>
      <c r="F2531" s="287" t="s">
        <v>3559</v>
      </c>
      <c r="G2531" s="288" t="s">
        <v>3568</v>
      </c>
    </row>
    <row r="2532" spans="1:7" x14ac:dyDescent="0.2">
      <c r="A2532" s="944">
        <v>39151710800</v>
      </c>
      <c r="B2532" s="239" t="s">
        <v>2538</v>
      </c>
      <c r="C2532" s="286" t="s">
        <v>2975</v>
      </c>
      <c r="D2532" s="865" t="s">
        <v>2975</v>
      </c>
      <c r="E2532" s="287" t="s">
        <v>3566</v>
      </c>
      <c r="F2532" s="287" t="s">
        <v>3565</v>
      </c>
      <c r="G2532" s="288" t="s">
        <v>3568</v>
      </c>
    </row>
    <row r="2533" spans="1:7" x14ac:dyDescent="0.2">
      <c r="A2533" s="944">
        <v>39151710900</v>
      </c>
      <c r="B2533" s="239" t="s">
        <v>2539</v>
      </c>
      <c r="C2533" s="286" t="s">
        <v>2975</v>
      </c>
      <c r="D2533" s="865" t="s">
        <v>2975</v>
      </c>
      <c r="E2533" s="287" t="s">
        <v>3563</v>
      </c>
      <c r="F2533" s="287" t="s">
        <v>3565</v>
      </c>
      <c r="G2533" s="288" t="s">
        <v>3568</v>
      </c>
    </row>
    <row r="2534" spans="1:7" x14ac:dyDescent="0.2">
      <c r="A2534" s="944">
        <v>39151711000</v>
      </c>
      <c r="B2534" s="239" t="s">
        <v>2540</v>
      </c>
      <c r="C2534" s="286" t="s">
        <v>2975</v>
      </c>
      <c r="D2534" s="865" t="s">
        <v>2975</v>
      </c>
      <c r="E2534" s="287" t="s">
        <v>3562</v>
      </c>
      <c r="F2534" s="287" t="s">
        <v>3558</v>
      </c>
      <c r="G2534" s="288" t="s">
        <v>3568</v>
      </c>
    </row>
    <row r="2535" spans="1:7" x14ac:dyDescent="0.2">
      <c r="A2535" s="944">
        <v>39151711111</v>
      </c>
      <c r="B2535" s="239" t="s">
        <v>2541</v>
      </c>
      <c r="C2535" s="286" t="s">
        <v>2975</v>
      </c>
      <c r="D2535" s="865" t="s">
        <v>2975</v>
      </c>
      <c r="E2535" s="287" t="s">
        <v>3566</v>
      </c>
      <c r="F2535" s="287" t="s">
        <v>3565</v>
      </c>
      <c r="G2535" s="288" t="s">
        <v>3569</v>
      </c>
    </row>
    <row r="2536" spans="1:7" x14ac:dyDescent="0.2">
      <c r="A2536" s="944">
        <v>39151711112</v>
      </c>
      <c r="B2536" s="239" t="s">
        <v>2542</v>
      </c>
      <c r="C2536" s="286" t="s">
        <v>2975</v>
      </c>
      <c r="D2536" s="865" t="s">
        <v>2975</v>
      </c>
      <c r="E2536" s="287" t="s">
        <v>3566</v>
      </c>
      <c r="F2536" s="287" t="s">
        <v>3558</v>
      </c>
      <c r="G2536" s="288" t="s">
        <v>3569</v>
      </c>
    </row>
    <row r="2537" spans="1:7" x14ac:dyDescent="0.2">
      <c r="A2537" s="944">
        <v>39151711121</v>
      </c>
      <c r="B2537" s="239" t="s">
        <v>2543</v>
      </c>
      <c r="C2537" s="286" t="s">
        <v>2975</v>
      </c>
      <c r="D2537" s="865" t="s">
        <v>2975</v>
      </c>
      <c r="E2537" s="287" t="s">
        <v>3566</v>
      </c>
      <c r="F2537" s="287" t="s">
        <v>5177</v>
      </c>
      <c r="G2537" s="288" t="s">
        <v>3569</v>
      </c>
    </row>
    <row r="2538" spans="1:7" x14ac:dyDescent="0.2">
      <c r="A2538" s="944">
        <v>39151711122</v>
      </c>
      <c r="B2538" s="239" t="s">
        <v>2544</v>
      </c>
      <c r="C2538" s="286" t="s">
        <v>2975</v>
      </c>
      <c r="D2538" s="865" t="s">
        <v>2975</v>
      </c>
      <c r="E2538" s="287" t="s">
        <v>3563</v>
      </c>
      <c r="F2538" s="287" t="s">
        <v>3565</v>
      </c>
      <c r="G2538" s="288" t="s">
        <v>3569</v>
      </c>
    </row>
    <row r="2539" spans="1:7" x14ac:dyDescent="0.2">
      <c r="A2539" s="944">
        <v>39151711202</v>
      </c>
      <c r="B2539" s="239" t="s">
        <v>2545</v>
      </c>
      <c r="C2539" s="286" t="s">
        <v>2975</v>
      </c>
      <c r="D2539" s="865" t="s">
        <v>2975</v>
      </c>
      <c r="E2539" s="287" t="s">
        <v>3563</v>
      </c>
      <c r="F2539" s="287" t="s">
        <v>5177</v>
      </c>
      <c r="G2539" s="288" t="s">
        <v>3568</v>
      </c>
    </row>
    <row r="2540" spans="1:7" x14ac:dyDescent="0.2">
      <c r="A2540" s="944">
        <v>39151711211</v>
      </c>
      <c r="B2540" s="239" t="s">
        <v>2546</v>
      </c>
      <c r="C2540" s="286" t="s">
        <v>2975</v>
      </c>
      <c r="D2540" s="865" t="s">
        <v>2975</v>
      </c>
      <c r="E2540" s="287" t="s">
        <v>3566</v>
      </c>
      <c r="F2540" s="287" t="s">
        <v>5177</v>
      </c>
      <c r="G2540" s="288" t="s">
        <v>3569</v>
      </c>
    </row>
    <row r="2541" spans="1:7" x14ac:dyDescent="0.2">
      <c r="A2541" s="944">
        <v>39151711212</v>
      </c>
      <c r="B2541" s="239" t="s">
        <v>2547</v>
      </c>
      <c r="C2541" s="286" t="s">
        <v>2975</v>
      </c>
      <c r="D2541" s="865" t="s">
        <v>2975</v>
      </c>
      <c r="E2541" s="287" t="s">
        <v>3566</v>
      </c>
      <c r="F2541" s="287" t="s">
        <v>5177</v>
      </c>
      <c r="G2541" s="288" t="s">
        <v>3569</v>
      </c>
    </row>
    <row r="2542" spans="1:7" x14ac:dyDescent="0.2">
      <c r="A2542" s="944">
        <v>39151711311</v>
      </c>
      <c r="B2542" s="239" t="s">
        <v>2548</v>
      </c>
      <c r="C2542" s="286" t="s">
        <v>2975</v>
      </c>
      <c r="D2542" s="865" t="s">
        <v>2975</v>
      </c>
      <c r="E2542" s="287" t="s">
        <v>3563</v>
      </c>
      <c r="F2542" s="287" t="s">
        <v>3559</v>
      </c>
      <c r="G2542" s="288" t="s">
        <v>3569</v>
      </c>
    </row>
    <row r="2543" spans="1:7" x14ac:dyDescent="0.2">
      <c r="A2543" s="944">
        <v>39151711312</v>
      </c>
      <c r="B2543" s="239" t="s">
        <v>2549</v>
      </c>
      <c r="C2543" s="286" t="s">
        <v>2975</v>
      </c>
      <c r="D2543" s="865" t="s">
        <v>2975</v>
      </c>
      <c r="E2543" s="287" t="s">
        <v>3563</v>
      </c>
      <c r="F2543" s="287" t="s">
        <v>3558</v>
      </c>
      <c r="G2543" s="288" t="s">
        <v>3569</v>
      </c>
    </row>
    <row r="2544" spans="1:7" x14ac:dyDescent="0.2">
      <c r="A2544" s="944">
        <v>39151711321</v>
      </c>
      <c r="B2544" s="239" t="s">
        <v>2550</v>
      </c>
      <c r="C2544" s="286" t="s">
        <v>2975</v>
      </c>
      <c r="D2544" s="865" t="s">
        <v>2975</v>
      </c>
      <c r="E2544" s="287" t="s">
        <v>3562</v>
      </c>
      <c r="F2544" s="287" t="s">
        <v>5176</v>
      </c>
      <c r="G2544" s="288" t="s">
        <v>3569</v>
      </c>
    </row>
    <row r="2545" spans="1:7" x14ac:dyDescent="0.2">
      <c r="A2545" s="944">
        <v>39151711322</v>
      </c>
      <c r="B2545" s="239" t="s">
        <v>2551</v>
      </c>
      <c r="C2545" s="286" t="s">
        <v>2975</v>
      </c>
      <c r="D2545" s="865" t="s">
        <v>2975</v>
      </c>
      <c r="E2545" s="287" t="s">
        <v>3562</v>
      </c>
      <c r="F2545" s="287" t="s">
        <v>3558</v>
      </c>
      <c r="G2545" s="288" t="s">
        <v>3569</v>
      </c>
    </row>
    <row r="2546" spans="1:7" x14ac:dyDescent="0.2">
      <c r="A2546" s="944">
        <v>39151711402</v>
      </c>
      <c r="B2546" s="239" t="s">
        <v>2552</v>
      </c>
      <c r="C2546" s="286" t="s">
        <v>2975</v>
      </c>
      <c r="D2546" s="865" t="s">
        <v>2975</v>
      </c>
      <c r="E2546" s="287" t="s">
        <v>3563</v>
      </c>
      <c r="F2546" s="287" t="s">
        <v>3558</v>
      </c>
      <c r="G2546" s="288" t="s">
        <v>3569</v>
      </c>
    </row>
    <row r="2547" spans="1:7" x14ac:dyDescent="0.2">
      <c r="A2547" s="944">
        <v>39151711411</v>
      </c>
      <c r="B2547" s="239" t="s">
        <v>2553</v>
      </c>
      <c r="C2547" s="286" t="s">
        <v>2975</v>
      </c>
      <c r="D2547" s="865" t="s">
        <v>2975</v>
      </c>
      <c r="E2547" s="287" t="s">
        <v>3563</v>
      </c>
      <c r="F2547" s="287" t="s">
        <v>3565</v>
      </c>
      <c r="G2547" s="288" t="s">
        <v>3569</v>
      </c>
    </row>
    <row r="2548" spans="1:7" x14ac:dyDescent="0.2">
      <c r="A2548" s="944">
        <v>39151711412</v>
      </c>
      <c r="B2548" s="239" t="s">
        <v>2554</v>
      </c>
      <c r="C2548" s="286" t="s">
        <v>2975</v>
      </c>
      <c r="D2548" s="865" t="s">
        <v>2975</v>
      </c>
      <c r="E2548" s="287" t="s">
        <v>3566</v>
      </c>
      <c r="F2548" s="287" t="s">
        <v>5176</v>
      </c>
      <c r="G2548" s="288" t="s">
        <v>3569</v>
      </c>
    </row>
    <row r="2549" spans="1:7" x14ac:dyDescent="0.2">
      <c r="A2549" s="944">
        <v>39151711501</v>
      </c>
      <c r="B2549" s="239" t="s">
        <v>2555</v>
      </c>
      <c r="C2549" s="286" t="s">
        <v>2975</v>
      </c>
      <c r="D2549" s="865" t="s">
        <v>2975</v>
      </c>
      <c r="E2549" s="287" t="s">
        <v>3563</v>
      </c>
      <c r="F2549" s="287" t="s">
        <v>3559</v>
      </c>
      <c r="G2549" s="288" t="s">
        <v>3569</v>
      </c>
    </row>
    <row r="2550" spans="1:7" x14ac:dyDescent="0.2">
      <c r="A2550" s="944">
        <v>39151711502</v>
      </c>
      <c r="B2550" s="239" t="s">
        <v>2556</v>
      </c>
      <c r="C2550" s="286" t="s">
        <v>2975</v>
      </c>
      <c r="D2550" s="865" t="s">
        <v>2975</v>
      </c>
      <c r="E2550" s="287" t="s">
        <v>3563</v>
      </c>
      <c r="F2550" s="287" t="s">
        <v>5176</v>
      </c>
      <c r="G2550" s="288" t="s">
        <v>3569</v>
      </c>
    </row>
    <row r="2551" spans="1:7" x14ac:dyDescent="0.2">
      <c r="A2551" s="944">
        <v>39151711600</v>
      </c>
      <c r="B2551" s="239" t="s">
        <v>2557</v>
      </c>
      <c r="C2551" s="286" t="s">
        <v>2975</v>
      </c>
      <c r="D2551" s="865" t="s">
        <v>2975</v>
      </c>
      <c r="E2551" s="287" t="s">
        <v>3566</v>
      </c>
      <c r="F2551" s="287" t="s">
        <v>3558</v>
      </c>
      <c r="G2551" s="288" t="s">
        <v>3569</v>
      </c>
    </row>
    <row r="2552" spans="1:7" x14ac:dyDescent="0.2">
      <c r="A2552" s="944">
        <v>39151711700</v>
      </c>
      <c r="B2552" s="239" t="s">
        <v>2558</v>
      </c>
      <c r="C2552" s="286" t="s">
        <v>2975</v>
      </c>
      <c r="D2552" s="865" t="s">
        <v>2975</v>
      </c>
      <c r="E2552" s="287" t="s">
        <v>3562</v>
      </c>
      <c r="F2552" s="287" t="s">
        <v>5176</v>
      </c>
      <c r="G2552" s="288" t="s">
        <v>3553</v>
      </c>
    </row>
    <row r="2553" spans="1:7" x14ac:dyDescent="0.2">
      <c r="A2553" s="944">
        <v>39151711800</v>
      </c>
      <c r="B2553" s="239" t="s">
        <v>2559</v>
      </c>
      <c r="C2553" s="286" t="s">
        <v>2975</v>
      </c>
      <c r="D2553" s="865" t="s">
        <v>2975</v>
      </c>
      <c r="E2553" s="287" t="s">
        <v>3563</v>
      </c>
      <c r="F2553" s="287" t="s">
        <v>3565</v>
      </c>
      <c r="G2553" s="288" t="s">
        <v>3569</v>
      </c>
    </row>
    <row r="2554" spans="1:7" x14ac:dyDescent="0.2">
      <c r="A2554" s="944">
        <v>39151711900</v>
      </c>
      <c r="B2554" s="239" t="s">
        <v>2560</v>
      </c>
      <c r="C2554" s="286" t="s">
        <v>2975</v>
      </c>
      <c r="D2554" s="865" t="s">
        <v>2975</v>
      </c>
      <c r="E2554" s="287" t="s">
        <v>3563</v>
      </c>
      <c r="F2554" s="287" t="s">
        <v>3565</v>
      </c>
      <c r="G2554" s="288" t="s">
        <v>3569</v>
      </c>
    </row>
    <row r="2555" spans="1:7" x14ac:dyDescent="0.2">
      <c r="A2555" s="944">
        <v>39151712000</v>
      </c>
      <c r="B2555" s="239" t="s">
        <v>2561</v>
      </c>
      <c r="C2555" s="286" t="s">
        <v>2975</v>
      </c>
      <c r="D2555" s="865" t="s">
        <v>2975</v>
      </c>
      <c r="E2555" s="287" t="s">
        <v>3563</v>
      </c>
      <c r="F2555" s="287" t="s">
        <v>3558</v>
      </c>
      <c r="G2555" s="288" t="s">
        <v>3569</v>
      </c>
    </row>
    <row r="2556" spans="1:7" x14ac:dyDescent="0.2">
      <c r="A2556" s="944">
        <v>39151712102</v>
      </c>
      <c r="B2556" s="239" t="s">
        <v>2562</v>
      </c>
      <c r="C2556" s="286" t="s">
        <v>2975</v>
      </c>
      <c r="D2556" s="865" t="s">
        <v>2975</v>
      </c>
      <c r="E2556" s="287" t="s">
        <v>3566</v>
      </c>
      <c r="F2556" s="287" t="s">
        <v>5177</v>
      </c>
      <c r="G2556" s="288" t="s">
        <v>3569</v>
      </c>
    </row>
    <row r="2557" spans="1:7" x14ac:dyDescent="0.2">
      <c r="A2557" s="944">
        <v>39151712111</v>
      </c>
      <c r="B2557" s="239" t="s">
        <v>2563</v>
      </c>
      <c r="C2557" s="286" t="s">
        <v>2975</v>
      </c>
      <c r="D2557" s="865" t="s">
        <v>2975</v>
      </c>
      <c r="E2557" s="287" t="s">
        <v>3562</v>
      </c>
      <c r="F2557" s="287" t="s">
        <v>3565</v>
      </c>
      <c r="G2557" s="288" t="s">
        <v>3569</v>
      </c>
    </row>
    <row r="2558" spans="1:7" x14ac:dyDescent="0.2">
      <c r="A2558" s="944">
        <v>39151712112</v>
      </c>
      <c r="B2558" s="239" t="s">
        <v>2564</v>
      </c>
      <c r="C2558" s="286" t="s">
        <v>2975</v>
      </c>
      <c r="D2558" s="865" t="s">
        <v>2975</v>
      </c>
      <c r="E2558" s="287" t="s">
        <v>3563</v>
      </c>
      <c r="F2558" s="287" t="s">
        <v>3558</v>
      </c>
      <c r="G2558" s="288" t="s">
        <v>3569</v>
      </c>
    </row>
    <row r="2559" spans="1:7" x14ac:dyDescent="0.2">
      <c r="A2559" s="944">
        <v>39151712201</v>
      </c>
      <c r="B2559" s="239" t="s">
        <v>2565</v>
      </c>
      <c r="C2559" s="286" t="s">
        <v>2975</v>
      </c>
      <c r="D2559" s="865" t="s">
        <v>2975</v>
      </c>
      <c r="E2559" s="287" t="s">
        <v>3563</v>
      </c>
      <c r="F2559" s="287" t="s">
        <v>3565</v>
      </c>
      <c r="G2559" s="288" t="s">
        <v>3569</v>
      </c>
    </row>
    <row r="2560" spans="1:7" x14ac:dyDescent="0.2">
      <c r="A2560" s="944">
        <v>39151712202</v>
      </c>
      <c r="B2560" s="239" t="s">
        <v>2566</v>
      </c>
      <c r="C2560" s="286" t="s">
        <v>2975</v>
      </c>
      <c r="D2560" s="865" t="s">
        <v>2975</v>
      </c>
      <c r="E2560" s="287" t="s">
        <v>3563</v>
      </c>
      <c r="F2560" s="287" t="s">
        <v>5176</v>
      </c>
      <c r="G2560" s="288" t="s">
        <v>3569</v>
      </c>
    </row>
    <row r="2561" spans="1:7" x14ac:dyDescent="0.2">
      <c r="A2561" s="944">
        <v>39151712300</v>
      </c>
      <c r="B2561" s="239" t="s">
        <v>2567</v>
      </c>
      <c r="C2561" s="286" t="s">
        <v>2975</v>
      </c>
      <c r="D2561" s="865" t="s">
        <v>2975</v>
      </c>
      <c r="E2561" s="287" t="s">
        <v>3566</v>
      </c>
      <c r="F2561" s="287" t="s">
        <v>3558</v>
      </c>
      <c r="G2561" s="288" t="s">
        <v>3569</v>
      </c>
    </row>
    <row r="2562" spans="1:7" x14ac:dyDescent="0.2">
      <c r="A2562" s="944">
        <v>39151712400</v>
      </c>
      <c r="B2562" s="239" t="s">
        <v>2568</v>
      </c>
      <c r="C2562" s="286" t="s">
        <v>2975</v>
      </c>
      <c r="D2562" s="865" t="s">
        <v>2975</v>
      </c>
      <c r="E2562" s="287" t="s">
        <v>3564</v>
      </c>
      <c r="F2562" s="287" t="s">
        <v>3559</v>
      </c>
      <c r="G2562" s="288" t="s">
        <v>3569</v>
      </c>
    </row>
    <row r="2563" spans="1:7" x14ac:dyDescent="0.2">
      <c r="A2563" s="944">
        <v>39151712500</v>
      </c>
      <c r="B2563" s="239" t="s">
        <v>2569</v>
      </c>
      <c r="C2563" s="286" t="s">
        <v>2975</v>
      </c>
      <c r="D2563" s="865" t="s">
        <v>2975</v>
      </c>
      <c r="E2563" s="287" t="s">
        <v>3566</v>
      </c>
      <c r="F2563" s="287" t="s">
        <v>5177</v>
      </c>
      <c r="G2563" s="288" t="s">
        <v>3569</v>
      </c>
    </row>
    <row r="2564" spans="1:7" x14ac:dyDescent="0.2">
      <c r="A2564" s="944">
        <v>39151712601</v>
      </c>
      <c r="B2564" s="239" t="s">
        <v>2570</v>
      </c>
      <c r="C2564" s="286" t="s">
        <v>2975</v>
      </c>
      <c r="D2564" s="865" t="s">
        <v>2975</v>
      </c>
      <c r="E2564" s="287" t="s">
        <v>3566</v>
      </c>
      <c r="F2564" s="287" t="s">
        <v>3559</v>
      </c>
      <c r="G2564" s="288" t="s">
        <v>3569</v>
      </c>
    </row>
    <row r="2565" spans="1:7" x14ac:dyDescent="0.2">
      <c r="A2565" s="944">
        <v>39151712602</v>
      </c>
      <c r="B2565" s="239" t="s">
        <v>2571</v>
      </c>
      <c r="C2565" s="286" t="s">
        <v>2975</v>
      </c>
      <c r="D2565" s="865" t="s">
        <v>2975</v>
      </c>
      <c r="E2565" s="287" t="s">
        <v>3564</v>
      </c>
      <c r="F2565" s="287" t="s">
        <v>3565</v>
      </c>
      <c r="G2565" s="288" t="s">
        <v>3569</v>
      </c>
    </row>
    <row r="2566" spans="1:7" x14ac:dyDescent="0.2">
      <c r="A2566" s="944">
        <v>39151712700</v>
      </c>
      <c r="B2566" s="239" t="s">
        <v>2572</v>
      </c>
      <c r="C2566" s="286" t="s">
        <v>2975</v>
      </c>
      <c r="D2566" s="865" t="s">
        <v>2975</v>
      </c>
      <c r="E2566" s="287" t="s">
        <v>3563</v>
      </c>
      <c r="F2566" s="287" t="s">
        <v>3559</v>
      </c>
      <c r="G2566" s="288" t="s">
        <v>3568</v>
      </c>
    </row>
    <row r="2567" spans="1:7" x14ac:dyDescent="0.2">
      <c r="A2567" s="944">
        <v>39151712800</v>
      </c>
      <c r="B2567" s="239" t="s">
        <v>2573</v>
      </c>
      <c r="C2567" s="286" t="s">
        <v>2975</v>
      </c>
      <c r="D2567" s="865" t="s">
        <v>2975</v>
      </c>
      <c r="E2567" s="287" t="s">
        <v>3563</v>
      </c>
      <c r="F2567" s="287" t="s">
        <v>3559</v>
      </c>
      <c r="G2567" s="288" t="s">
        <v>3568</v>
      </c>
    </row>
    <row r="2568" spans="1:7" x14ac:dyDescent="0.2">
      <c r="A2568" s="944">
        <v>39151712900</v>
      </c>
      <c r="B2568" s="239" t="s">
        <v>2574</v>
      </c>
      <c r="C2568" s="286" t="s">
        <v>2975</v>
      </c>
      <c r="D2568" s="865" t="s">
        <v>2975</v>
      </c>
      <c r="E2568" s="287" t="s">
        <v>3564</v>
      </c>
      <c r="F2568" s="287" t="s">
        <v>3558</v>
      </c>
      <c r="G2568" s="288" t="s">
        <v>3568</v>
      </c>
    </row>
    <row r="2569" spans="1:7" x14ac:dyDescent="0.2">
      <c r="A2569" s="944">
        <v>39151713000</v>
      </c>
      <c r="B2569" s="239" t="s">
        <v>2575</v>
      </c>
      <c r="C2569" s="286" t="s">
        <v>2975</v>
      </c>
      <c r="D2569" s="865" t="s">
        <v>2975</v>
      </c>
      <c r="E2569" s="287" t="s">
        <v>3566</v>
      </c>
      <c r="F2569" s="287" t="s">
        <v>3565</v>
      </c>
      <c r="G2569" s="288" t="s">
        <v>3568</v>
      </c>
    </row>
    <row r="2570" spans="1:7" x14ac:dyDescent="0.2">
      <c r="A2570" s="944">
        <v>39151713100</v>
      </c>
      <c r="B2570" s="239" t="s">
        <v>2576</v>
      </c>
      <c r="C2570" s="286" t="s">
        <v>2975</v>
      </c>
      <c r="D2570" s="865" t="s">
        <v>2975</v>
      </c>
      <c r="E2570" s="287" t="s">
        <v>3564</v>
      </c>
      <c r="F2570" s="287" t="s">
        <v>3565</v>
      </c>
      <c r="G2570" s="288" t="s">
        <v>3569</v>
      </c>
    </row>
    <row r="2571" spans="1:7" x14ac:dyDescent="0.2">
      <c r="A2571" s="944">
        <v>39151713201</v>
      </c>
      <c r="B2571" s="239" t="s">
        <v>2577</v>
      </c>
      <c r="C2571" s="286" t="s">
        <v>2975</v>
      </c>
      <c r="D2571" s="865" t="s">
        <v>2975</v>
      </c>
      <c r="E2571" s="287" t="s">
        <v>3563</v>
      </c>
      <c r="F2571" s="287" t="s">
        <v>3558</v>
      </c>
      <c r="G2571" s="288" t="s">
        <v>3568</v>
      </c>
    </row>
    <row r="2572" spans="1:7" x14ac:dyDescent="0.2">
      <c r="A2572" s="944">
        <v>39151713202</v>
      </c>
      <c r="B2572" s="239" t="s">
        <v>2578</v>
      </c>
      <c r="C2572" s="286" t="s">
        <v>2975</v>
      </c>
      <c r="D2572" s="865" t="s">
        <v>2975</v>
      </c>
      <c r="E2572" s="287" t="s">
        <v>3564</v>
      </c>
      <c r="F2572" s="287" t="s">
        <v>3558</v>
      </c>
      <c r="G2572" s="288" t="s">
        <v>3569</v>
      </c>
    </row>
    <row r="2573" spans="1:7" x14ac:dyDescent="0.2">
      <c r="A2573" s="944">
        <v>39151713300</v>
      </c>
      <c r="B2573" s="239" t="s">
        <v>2579</v>
      </c>
      <c r="C2573" s="286" t="s">
        <v>2975</v>
      </c>
      <c r="D2573" s="865" t="s">
        <v>2975</v>
      </c>
      <c r="E2573" s="287" t="s">
        <v>3566</v>
      </c>
      <c r="F2573" s="287" t="s">
        <v>3559</v>
      </c>
      <c r="G2573" s="288" t="s">
        <v>3569</v>
      </c>
    </row>
    <row r="2574" spans="1:7" x14ac:dyDescent="0.2">
      <c r="A2574" s="944">
        <v>39151713401</v>
      </c>
      <c r="B2574" s="239" t="s">
        <v>2580</v>
      </c>
      <c r="C2574" s="286" t="s">
        <v>2975</v>
      </c>
      <c r="D2574" s="865" t="s">
        <v>2975</v>
      </c>
      <c r="E2574" s="287" t="s">
        <v>3564</v>
      </c>
      <c r="F2574" s="287" t="s">
        <v>5176</v>
      </c>
      <c r="G2574" s="288" t="s">
        <v>3569</v>
      </c>
    </row>
    <row r="2575" spans="1:7" x14ac:dyDescent="0.2">
      <c r="A2575" s="944">
        <v>39151713402</v>
      </c>
      <c r="B2575" s="239" t="s">
        <v>2581</v>
      </c>
      <c r="C2575" s="286" t="s">
        <v>2975</v>
      </c>
      <c r="D2575" s="865" t="s">
        <v>2975</v>
      </c>
      <c r="E2575" s="287" t="s">
        <v>3566</v>
      </c>
      <c r="F2575" s="287" t="s">
        <v>5177</v>
      </c>
      <c r="G2575" s="288" t="s">
        <v>3569</v>
      </c>
    </row>
    <row r="2576" spans="1:7" x14ac:dyDescent="0.2">
      <c r="A2576" s="944">
        <v>39151713501</v>
      </c>
      <c r="B2576" s="239" t="s">
        <v>2582</v>
      </c>
      <c r="C2576" s="286" t="s">
        <v>2975</v>
      </c>
      <c r="D2576" s="865" t="s">
        <v>2975</v>
      </c>
      <c r="E2576" s="287" t="s">
        <v>3566</v>
      </c>
      <c r="F2576" s="287" t="s">
        <v>5176</v>
      </c>
      <c r="G2576" s="288" t="s">
        <v>3569</v>
      </c>
    </row>
    <row r="2577" spans="1:7" x14ac:dyDescent="0.2">
      <c r="A2577" s="944">
        <v>39151713502</v>
      </c>
      <c r="B2577" s="239" t="s">
        <v>2583</v>
      </c>
      <c r="C2577" s="286" t="s">
        <v>2975</v>
      </c>
      <c r="D2577" s="865" t="s">
        <v>2975</v>
      </c>
      <c r="E2577" s="287" t="s">
        <v>3564</v>
      </c>
      <c r="F2577" s="287" t="s">
        <v>5176</v>
      </c>
      <c r="G2577" s="288" t="s">
        <v>3569</v>
      </c>
    </row>
    <row r="2578" spans="1:7" x14ac:dyDescent="0.2">
      <c r="A2578" s="944">
        <v>39151713600</v>
      </c>
      <c r="B2578" s="239" t="s">
        <v>2584</v>
      </c>
      <c r="C2578" s="286" t="s">
        <v>2975</v>
      </c>
      <c r="D2578" s="865" t="s">
        <v>2975</v>
      </c>
      <c r="E2578" s="287" t="s">
        <v>3563</v>
      </c>
      <c r="F2578" s="287" t="s">
        <v>5177</v>
      </c>
      <c r="G2578" s="288" t="s">
        <v>3569</v>
      </c>
    </row>
    <row r="2579" spans="1:7" x14ac:dyDescent="0.2">
      <c r="A2579" s="944">
        <v>39151713700</v>
      </c>
      <c r="B2579" s="239" t="s">
        <v>2585</v>
      </c>
      <c r="C2579" s="286" t="s">
        <v>2975</v>
      </c>
      <c r="D2579" s="865" t="s">
        <v>2975</v>
      </c>
      <c r="E2579" s="287" t="s">
        <v>3564</v>
      </c>
      <c r="F2579" s="287" t="s">
        <v>5176</v>
      </c>
      <c r="G2579" s="288" t="s">
        <v>3569</v>
      </c>
    </row>
    <row r="2580" spans="1:7" x14ac:dyDescent="0.2">
      <c r="A2580" s="944">
        <v>39151713900</v>
      </c>
      <c r="B2580" s="239" t="s">
        <v>2586</v>
      </c>
      <c r="C2580" s="286" t="s">
        <v>4330</v>
      </c>
      <c r="D2580" s="865" t="s">
        <v>4330</v>
      </c>
      <c r="E2580" s="287" t="s">
        <v>3557</v>
      </c>
      <c r="F2580" s="287" t="s">
        <v>5177</v>
      </c>
      <c r="G2580" s="288" t="s">
        <v>3569</v>
      </c>
    </row>
    <row r="2581" spans="1:7" x14ac:dyDescent="0.2">
      <c r="A2581" s="944">
        <v>39151714000</v>
      </c>
      <c r="B2581" s="239" t="s">
        <v>2587</v>
      </c>
      <c r="C2581" s="286" t="s">
        <v>2975</v>
      </c>
      <c r="D2581" s="865" t="s">
        <v>2975</v>
      </c>
      <c r="E2581" s="287" t="s">
        <v>3564</v>
      </c>
      <c r="F2581" s="287" t="s">
        <v>5176</v>
      </c>
      <c r="G2581" s="288" t="s">
        <v>3569</v>
      </c>
    </row>
    <row r="2582" spans="1:7" x14ac:dyDescent="0.2">
      <c r="A2582" s="944">
        <v>39151714100</v>
      </c>
      <c r="B2582" s="239" t="s">
        <v>2588</v>
      </c>
      <c r="C2582" s="286" t="s">
        <v>2975</v>
      </c>
      <c r="D2582" s="865" t="s">
        <v>2975</v>
      </c>
      <c r="E2582" s="287" t="s">
        <v>3564</v>
      </c>
      <c r="F2582" s="287" t="s">
        <v>5176</v>
      </c>
      <c r="G2582" s="288" t="s">
        <v>3569</v>
      </c>
    </row>
    <row r="2583" spans="1:7" x14ac:dyDescent="0.2">
      <c r="A2583" s="944">
        <v>39151714200</v>
      </c>
      <c r="B2583" s="239" t="s">
        <v>2589</v>
      </c>
      <c r="C2583" s="286" t="s">
        <v>4330</v>
      </c>
      <c r="D2583" s="865" t="s">
        <v>4330</v>
      </c>
      <c r="E2583" s="287" t="s">
        <v>3557</v>
      </c>
      <c r="F2583" s="287" t="s">
        <v>3565</v>
      </c>
      <c r="G2583" s="288" t="s">
        <v>3569</v>
      </c>
    </row>
    <row r="2584" spans="1:7" x14ac:dyDescent="0.2">
      <c r="A2584" s="944">
        <v>39151714302</v>
      </c>
      <c r="B2584" s="239" t="s">
        <v>2590</v>
      </c>
      <c r="C2584" s="286" t="s">
        <v>2975</v>
      </c>
      <c r="D2584" s="865" t="s">
        <v>2975</v>
      </c>
      <c r="E2584" s="287" t="s">
        <v>3564</v>
      </c>
      <c r="F2584" s="287" t="s">
        <v>3558</v>
      </c>
      <c r="G2584" s="288" t="s">
        <v>3569</v>
      </c>
    </row>
    <row r="2585" spans="1:7" x14ac:dyDescent="0.2">
      <c r="A2585" s="944">
        <v>39151714400</v>
      </c>
      <c r="B2585" s="239" t="s">
        <v>2591</v>
      </c>
      <c r="C2585" s="286" t="s">
        <v>2975</v>
      </c>
      <c r="D2585" s="865" t="s">
        <v>2975</v>
      </c>
      <c r="E2585" s="287" t="s">
        <v>3566</v>
      </c>
      <c r="F2585" s="287" t="s">
        <v>3558</v>
      </c>
      <c r="G2585" s="288" t="s">
        <v>3569</v>
      </c>
    </row>
    <row r="2586" spans="1:7" x14ac:dyDescent="0.2">
      <c r="A2586" s="944">
        <v>39151714600</v>
      </c>
      <c r="B2586" s="239" t="s">
        <v>2592</v>
      </c>
      <c r="C2586" s="286" t="s">
        <v>2975</v>
      </c>
      <c r="D2586" s="865" t="s">
        <v>2975</v>
      </c>
      <c r="E2586" s="287" t="s">
        <v>3564</v>
      </c>
      <c r="F2586" s="287" t="s">
        <v>3558</v>
      </c>
      <c r="G2586" s="288" t="s">
        <v>3569</v>
      </c>
    </row>
    <row r="2587" spans="1:7" x14ac:dyDescent="0.2">
      <c r="A2587" s="944">
        <v>39151714701</v>
      </c>
      <c r="B2587" s="239" t="s">
        <v>2593</v>
      </c>
      <c r="C2587" s="286" t="s">
        <v>2975</v>
      </c>
      <c r="D2587" s="865" t="s">
        <v>2975</v>
      </c>
      <c r="E2587" s="287" t="s">
        <v>3566</v>
      </c>
      <c r="F2587" s="287" t="s">
        <v>3565</v>
      </c>
      <c r="G2587" s="288" t="s">
        <v>3569</v>
      </c>
    </row>
    <row r="2588" spans="1:7" x14ac:dyDescent="0.2">
      <c r="A2588" s="944">
        <v>39151714702</v>
      </c>
      <c r="B2588" s="239" t="s">
        <v>2594</v>
      </c>
      <c r="C2588" s="286" t="s">
        <v>2975</v>
      </c>
      <c r="D2588" s="865" t="s">
        <v>2975</v>
      </c>
      <c r="E2588" s="287" t="s">
        <v>3562</v>
      </c>
      <c r="F2588" s="287" t="s">
        <v>3559</v>
      </c>
      <c r="G2588" s="288" t="s">
        <v>3568</v>
      </c>
    </row>
    <row r="2589" spans="1:7" x14ac:dyDescent="0.2">
      <c r="A2589" s="944">
        <v>39151714801</v>
      </c>
      <c r="B2589" s="239" t="s">
        <v>2595</v>
      </c>
      <c r="C2589" s="286" t="s">
        <v>2975</v>
      </c>
      <c r="D2589" s="865" t="s">
        <v>2975</v>
      </c>
      <c r="E2589" s="287" t="s">
        <v>3564</v>
      </c>
      <c r="F2589" s="287" t="s">
        <v>3565</v>
      </c>
      <c r="G2589" s="288" t="s">
        <v>3568</v>
      </c>
    </row>
    <row r="2590" spans="1:7" x14ac:dyDescent="0.2">
      <c r="A2590" s="944">
        <v>39151714802</v>
      </c>
      <c r="B2590" s="239" t="s">
        <v>2596</v>
      </c>
      <c r="C2590" s="286" t="s">
        <v>2975</v>
      </c>
      <c r="D2590" s="865" t="s">
        <v>2975</v>
      </c>
      <c r="E2590" s="287" t="s">
        <v>3564</v>
      </c>
      <c r="F2590" s="287" t="s">
        <v>3565</v>
      </c>
      <c r="G2590" s="288" t="s">
        <v>3568</v>
      </c>
    </row>
    <row r="2591" spans="1:7" x14ac:dyDescent="0.2">
      <c r="A2591" s="944">
        <v>39151714901</v>
      </c>
      <c r="B2591" s="239" t="s">
        <v>2597</v>
      </c>
      <c r="C2591" s="286" t="s">
        <v>2975</v>
      </c>
      <c r="D2591" s="865" t="s">
        <v>2975</v>
      </c>
      <c r="E2591" s="287" t="s">
        <v>3566</v>
      </c>
      <c r="F2591" s="287" t="s">
        <v>3559</v>
      </c>
      <c r="G2591" s="288" t="s">
        <v>3568</v>
      </c>
    </row>
    <row r="2592" spans="1:7" x14ac:dyDescent="0.2">
      <c r="A2592" s="944">
        <v>39151714902</v>
      </c>
      <c r="B2592" s="239" t="s">
        <v>2598</v>
      </c>
      <c r="C2592" s="286" t="s">
        <v>2975</v>
      </c>
      <c r="D2592" s="865" t="s">
        <v>2975</v>
      </c>
      <c r="E2592" s="287" t="s">
        <v>3564</v>
      </c>
      <c r="F2592" s="287" t="s">
        <v>3565</v>
      </c>
      <c r="G2592" s="288" t="s">
        <v>3568</v>
      </c>
    </row>
    <row r="2593" spans="1:7" x14ac:dyDescent="0.2">
      <c r="A2593" s="944">
        <v>39151715000</v>
      </c>
      <c r="B2593" s="239" t="s">
        <v>2599</v>
      </c>
      <c r="C2593" s="286" t="s">
        <v>4330</v>
      </c>
      <c r="D2593" s="865" t="s">
        <v>4330</v>
      </c>
      <c r="E2593" s="287" t="s">
        <v>3564</v>
      </c>
      <c r="F2593" s="287" t="s">
        <v>3558</v>
      </c>
      <c r="G2593" s="288" t="s">
        <v>3569</v>
      </c>
    </row>
    <row r="2594" spans="1:7" x14ac:dyDescent="0.2">
      <c r="A2594" s="944">
        <v>39153501100</v>
      </c>
      <c r="B2594" s="239" t="s">
        <v>2600</v>
      </c>
      <c r="C2594" s="286" t="s">
        <v>4330</v>
      </c>
      <c r="D2594" s="865" t="s">
        <v>4330</v>
      </c>
      <c r="E2594" s="287" t="s">
        <v>3563</v>
      </c>
      <c r="F2594" s="287" t="s">
        <v>3559</v>
      </c>
      <c r="G2594" s="288" t="s">
        <v>3553</v>
      </c>
    </row>
    <row r="2595" spans="1:7" x14ac:dyDescent="0.2">
      <c r="A2595" s="944">
        <v>39153501700</v>
      </c>
      <c r="B2595" s="239" t="s">
        <v>2601</v>
      </c>
      <c r="C2595" s="286" t="s">
        <v>4330</v>
      </c>
      <c r="D2595" s="865" t="s">
        <v>4330</v>
      </c>
      <c r="E2595" s="287" t="s">
        <v>3563</v>
      </c>
      <c r="F2595" s="287" t="s">
        <v>5176</v>
      </c>
      <c r="G2595" s="288" t="s">
        <v>3553</v>
      </c>
    </row>
    <row r="2596" spans="1:7" x14ac:dyDescent="0.2">
      <c r="A2596" s="944">
        <v>39153501800</v>
      </c>
      <c r="B2596" s="239" t="s">
        <v>2602</v>
      </c>
      <c r="C2596" s="286" t="s">
        <v>4330</v>
      </c>
      <c r="D2596" s="865" t="s">
        <v>4330</v>
      </c>
      <c r="E2596" s="287" t="s">
        <v>3564</v>
      </c>
      <c r="F2596" s="287" t="s">
        <v>3560</v>
      </c>
      <c r="G2596" s="288" t="s">
        <v>3553</v>
      </c>
    </row>
    <row r="2597" spans="1:7" x14ac:dyDescent="0.2">
      <c r="A2597" s="944">
        <v>39153501900</v>
      </c>
      <c r="B2597" s="239" t="s">
        <v>2603</v>
      </c>
      <c r="C2597" s="286" t="s">
        <v>4330</v>
      </c>
      <c r="D2597" s="865" t="s">
        <v>4330</v>
      </c>
      <c r="E2597" s="287" t="s">
        <v>3557</v>
      </c>
      <c r="F2597" s="287" t="s">
        <v>5177</v>
      </c>
      <c r="G2597" s="288" t="s">
        <v>3553</v>
      </c>
    </row>
    <row r="2598" spans="1:7" x14ac:dyDescent="0.2">
      <c r="A2598" s="944">
        <v>39153502101</v>
      </c>
      <c r="B2598" s="239" t="s">
        <v>2604</v>
      </c>
      <c r="C2598" s="286" t="s">
        <v>4330</v>
      </c>
      <c r="D2598" s="865" t="s">
        <v>2975</v>
      </c>
      <c r="E2598" s="287" t="s">
        <v>3566</v>
      </c>
      <c r="F2598" s="287" t="s">
        <v>5176</v>
      </c>
      <c r="G2598" s="288" t="s">
        <v>3553</v>
      </c>
    </row>
    <row r="2599" spans="1:7" x14ac:dyDescent="0.2">
      <c r="A2599" s="944">
        <v>39153502102</v>
      </c>
      <c r="B2599" s="239" t="s">
        <v>2605</v>
      </c>
      <c r="C2599" s="286" t="s">
        <v>4330</v>
      </c>
      <c r="D2599" s="865" t="s">
        <v>4330</v>
      </c>
      <c r="E2599" s="287" t="s">
        <v>3557</v>
      </c>
      <c r="F2599" s="287" t="s">
        <v>5176</v>
      </c>
      <c r="G2599" s="288" t="s">
        <v>3569</v>
      </c>
    </row>
    <row r="2600" spans="1:7" x14ac:dyDescent="0.2">
      <c r="A2600" s="944">
        <v>39153502200</v>
      </c>
      <c r="B2600" s="239" t="s">
        <v>2606</v>
      </c>
      <c r="C2600" s="286" t="s">
        <v>2975</v>
      </c>
      <c r="D2600" s="865" t="s">
        <v>2975</v>
      </c>
      <c r="E2600" s="287" t="s">
        <v>3563</v>
      </c>
      <c r="F2600" s="287" t="s">
        <v>3559</v>
      </c>
      <c r="G2600" s="288" t="s">
        <v>3553</v>
      </c>
    </row>
    <row r="2601" spans="1:7" x14ac:dyDescent="0.2">
      <c r="A2601" s="944">
        <v>39153502300</v>
      </c>
      <c r="B2601" s="239" t="s">
        <v>2607</v>
      </c>
      <c r="C2601" s="286" t="s">
        <v>4330</v>
      </c>
      <c r="D2601" s="865" t="s">
        <v>4330</v>
      </c>
      <c r="E2601" s="287" t="s">
        <v>3566</v>
      </c>
      <c r="F2601" s="287" t="s">
        <v>3560</v>
      </c>
      <c r="G2601" s="288" t="s">
        <v>3553</v>
      </c>
    </row>
    <row r="2602" spans="1:7" x14ac:dyDescent="0.2">
      <c r="A2602" s="944">
        <v>39153502500</v>
      </c>
      <c r="B2602" s="239" t="s">
        <v>2608</v>
      </c>
      <c r="C2602" s="286" t="s">
        <v>4330</v>
      </c>
      <c r="D2602" s="865" t="s">
        <v>4330</v>
      </c>
      <c r="E2602" s="287" t="s">
        <v>3566</v>
      </c>
      <c r="F2602" s="287" t="s">
        <v>5177</v>
      </c>
      <c r="G2602" s="288" t="s">
        <v>3553</v>
      </c>
    </row>
    <row r="2603" spans="1:7" x14ac:dyDescent="0.2">
      <c r="A2603" s="944">
        <v>39153502600</v>
      </c>
      <c r="B2603" s="239" t="s">
        <v>2609</v>
      </c>
      <c r="C2603" s="286" t="s">
        <v>2975</v>
      </c>
      <c r="D2603" s="865" t="s">
        <v>2975</v>
      </c>
      <c r="E2603" s="287" t="s">
        <v>3566</v>
      </c>
      <c r="F2603" s="287" t="s">
        <v>5176</v>
      </c>
      <c r="G2603" s="288" t="s">
        <v>3553</v>
      </c>
    </row>
    <row r="2604" spans="1:7" x14ac:dyDescent="0.2">
      <c r="A2604" s="944">
        <v>39153502700</v>
      </c>
      <c r="B2604" s="239" t="s">
        <v>2610</v>
      </c>
      <c r="C2604" s="286" t="s">
        <v>2975</v>
      </c>
      <c r="D2604" s="865" t="s">
        <v>2975</v>
      </c>
      <c r="E2604" s="287" t="s">
        <v>3563</v>
      </c>
      <c r="F2604" s="287" t="s">
        <v>3559</v>
      </c>
      <c r="G2604" s="288" t="s">
        <v>3553</v>
      </c>
    </row>
    <row r="2605" spans="1:7" x14ac:dyDescent="0.2">
      <c r="A2605" s="944">
        <v>39153502800</v>
      </c>
      <c r="B2605" s="239" t="s">
        <v>2611</v>
      </c>
      <c r="C2605" s="286" t="s">
        <v>2975</v>
      </c>
      <c r="D2605" s="865" t="s">
        <v>2975</v>
      </c>
      <c r="E2605" s="287" t="s">
        <v>3563</v>
      </c>
      <c r="F2605" s="287" t="s">
        <v>5176</v>
      </c>
      <c r="G2605" s="288" t="s">
        <v>3553</v>
      </c>
    </row>
    <row r="2606" spans="1:7" x14ac:dyDescent="0.2">
      <c r="A2606" s="944">
        <v>39153503100</v>
      </c>
      <c r="B2606" s="239" t="s">
        <v>2612</v>
      </c>
      <c r="C2606" s="286" t="s">
        <v>4330</v>
      </c>
      <c r="D2606" s="865" t="s">
        <v>4330</v>
      </c>
      <c r="E2606" s="287" t="s">
        <v>3566</v>
      </c>
      <c r="F2606" s="287" t="s">
        <v>3565</v>
      </c>
      <c r="G2606" s="288" t="s">
        <v>3553</v>
      </c>
    </row>
    <row r="2607" spans="1:7" x14ac:dyDescent="0.2">
      <c r="A2607" s="944">
        <v>39153503200</v>
      </c>
      <c r="B2607" s="239" t="s">
        <v>2613</v>
      </c>
      <c r="C2607" s="286" t="s">
        <v>4330</v>
      </c>
      <c r="D2607" s="865" t="s">
        <v>4330</v>
      </c>
      <c r="E2607" s="287" t="s">
        <v>3557</v>
      </c>
      <c r="F2607" s="287" t="s">
        <v>5176</v>
      </c>
      <c r="G2607" s="288" t="s">
        <v>3553</v>
      </c>
    </row>
    <row r="2608" spans="1:7" x14ac:dyDescent="0.2">
      <c r="A2608" s="944">
        <v>39153503300</v>
      </c>
      <c r="B2608" s="239" t="s">
        <v>2614</v>
      </c>
      <c r="C2608" s="286" t="s">
        <v>4330</v>
      </c>
      <c r="D2608" s="865" t="s">
        <v>4330</v>
      </c>
      <c r="E2608" s="287" t="s">
        <v>3566</v>
      </c>
      <c r="F2608" s="287" t="s">
        <v>3558</v>
      </c>
      <c r="G2608" s="288" t="s">
        <v>3553</v>
      </c>
    </row>
    <row r="2609" spans="1:7" x14ac:dyDescent="0.2">
      <c r="A2609" s="944">
        <v>39153503400</v>
      </c>
      <c r="B2609" s="239" t="s">
        <v>2615</v>
      </c>
      <c r="C2609" s="286" t="s">
        <v>4330</v>
      </c>
      <c r="D2609" s="865" t="s">
        <v>4330</v>
      </c>
      <c r="E2609" s="287" t="s">
        <v>3557</v>
      </c>
      <c r="F2609" s="287" t="s">
        <v>5177</v>
      </c>
      <c r="G2609" s="288" t="s">
        <v>3553</v>
      </c>
    </row>
    <row r="2610" spans="1:7" x14ac:dyDescent="0.2">
      <c r="A2610" s="944">
        <v>39153503500</v>
      </c>
      <c r="B2610" s="239" t="s">
        <v>2616</v>
      </c>
      <c r="C2610" s="286" t="s">
        <v>4330</v>
      </c>
      <c r="D2610" s="865" t="s">
        <v>4330</v>
      </c>
      <c r="E2610" s="287" t="s">
        <v>3557</v>
      </c>
      <c r="F2610" s="287" t="s">
        <v>3558</v>
      </c>
      <c r="G2610" s="288" t="s">
        <v>3553</v>
      </c>
    </row>
    <row r="2611" spans="1:7" x14ac:dyDescent="0.2">
      <c r="A2611" s="944">
        <v>39153503600</v>
      </c>
      <c r="B2611" s="239" t="s">
        <v>2617</v>
      </c>
      <c r="C2611" s="286" t="s">
        <v>2975</v>
      </c>
      <c r="D2611" s="865" t="s">
        <v>2975</v>
      </c>
      <c r="E2611" s="287" t="s">
        <v>3557</v>
      </c>
      <c r="F2611" s="287" t="s">
        <v>5176</v>
      </c>
      <c r="G2611" s="288" t="s">
        <v>3569</v>
      </c>
    </row>
    <row r="2612" spans="1:7" x14ac:dyDescent="0.2">
      <c r="A2612" s="944">
        <v>39153503701</v>
      </c>
      <c r="B2612" s="239" t="s">
        <v>2618</v>
      </c>
      <c r="C2612" s="286" t="s">
        <v>2975</v>
      </c>
      <c r="D2612" s="865" t="s">
        <v>2975</v>
      </c>
      <c r="E2612" s="287" t="s">
        <v>3562</v>
      </c>
      <c r="F2612" s="287" t="s">
        <v>3559</v>
      </c>
      <c r="G2612" s="288" t="s">
        <v>3553</v>
      </c>
    </row>
    <row r="2613" spans="1:7" x14ac:dyDescent="0.2">
      <c r="A2613" s="944">
        <v>39153503702</v>
      </c>
      <c r="B2613" s="239" t="s">
        <v>2619</v>
      </c>
      <c r="C2613" s="286" t="s">
        <v>2975</v>
      </c>
      <c r="D2613" s="865" t="s">
        <v>2975</v>
      </c>
      <c r="E2613" s="287" t="s">
        <v>3563</v>
      </c>
      <c r="F2613" s="287" t="s">
        <v>5176</v>
      </c>
      <c r="G2613" s="288" t="s">
        <v>3553</v>
      </c>
    </row>
    <row r="2614" spans="1:7" x14ac:dyDescent="0.2">
      <c r="A2614" s="944">
        <v>39153503800</v>
      </c>
      <c r="B2614" s="239" t="s">
        <v>2620</v>
      </c>
      <c r="C2614" s="286" t="s">
        <v>4330</v>
      </c>
      <c r="D2614" s="865" t="s">
        <v>4330</v>
      </c>
      <c r="E2614" s="287" t="s">
        <v>3557</v>
      </c>
      <c r="F2614" s="287" t="s">
        <v>3558</v>
      </c>
      <c r="G2614" s="288" t="s">
        <v>3569</v>
      </c>
    </row>
    <row r="2615" spans="1:7" x14ac:dyDescent="0.2">
      <c r="A2615" s="944">
        <v>39153504100</v>
      </c>
      <c r="B2615" s="239" t="s">
        <v>2621</v>
      </c>
      <c r="C2615" s="286" t="s">
        <v>4330</v>
      </c>
      <c r="D2615" s="865" t="s">
        <v>4330</v>
      </c>
      <c r="E2615" s="287" t="s">
        <v>3563</v>
      </c>
      <c r="F2615" s="287" t="s">
        <v>5177</v>
      </c>
      <c r="G2615" s="288" t="s">
        <v>3553</v>
      </c>
    </row>
    <row r="2616" spans="1:7" x14ac:dyDescent="0.2">
      <c r="A2616" s="944">
        <v>39153504200</v>
      </c>
      <c r="B2616" s="239" t="s">
        <v>2622</v>
      </c>
      <c r="C2616" s="286" t="s">
        <v>4330</v>
      </c>
      <c r="D2616" s="865" t="s">
        <v>4330</v>
      </c>
      <c r="E2616" s="287" t="s">
        <v>3564</v>
      </c>
      <c r="F2616" s="287" t="s">
        <v>3565</v>
      </c>
      <c r="G2616" s="288" t="s">
        <v>3553</v>
      </c>
    </row>
    <row r="2617" spans="1:7" x14ac:dyDescent="0.2">
      <c r="A2617" s="944">
        <v>39153504400</v>
      </c>
      <c r="B2617" s="239" t="s">
        <v>2623</v>
      </c>
      <c r="C2617" s="286" t="s">
        <v>4330</v>
      </c>
      <c r="D2617" s="865" t="s">
        <v>4330</v>
      </c>
      <c r="E2617" s="287" t="s">
        <v>3564</v>
      </c>
      <c r="F2617" s="287" t="s">
        <v>3558</v>
      </c>
      <c r="G2617" s="288" t="s">
        <v>3553</v>
      </c>
    </row>
    <row r="2618" spans="1:7" x14ac:dyDescent="0.2">
      <c r="A2618" s="944">
        <v>39153504500</v>
      </c>
      <c r="B2618" s="239" t="s">
        <v>2624</v>
      </c>
      <c r="C2618" s="286" t="s">
        <v>4330</v>
      </c>
      <c r="D2618" s="865" t="s">
        <v>4330</v>
      </c>
      <c r="E2618" s="287" t="s">
        <v>3566</v>
      </c>
      <c r="F2618" s="287" t="s">
        <v>3558</v>
      </c>
      <c r="G2618" s="288" t="s">
        <v>3553</v>
      </c>
    </row>
    <row r="2619" spans="1:7" x14ac:dyDescent="0.2">
      <c r="A2619" s="944">
        <v>39153504600</v>
      </c>
      <c r="B2619" s="239" t="s">
        <v>2625</v>
      </c>
      <c r="C2619" s="286" t="s">
        <v>4330</v>
      </c>
      <c r="D2619" s="865" t="s">
        <v>4330</v>
      </c>
      <c r="E2619" s="287" t="s">
        <v>3564</v>
      </c>
      <c r="F2619" s="287" t="s">
        <v>5176</v>
      </c>
      <c r="G2619" s="288" t="s">
        <v>3553</v>
      </c>
    </row>
    <row r="2620" spans="1:7" x14ac:dyDescent="0.2">
      <c r="A2620" s="944">
        <v>39153504700</v>
      </c>
      <c r="B2620" s="239" t="s">
        <v>2626</v>
      </c>
      <c r="C2620" s="286" t="s">
        <v>2975</v>
      </c>
      <c r="D2620" s="865" t="s">
        <v>2975</v>
      </c>
      <c r="E2620" s="287" t="s">
        <v>3563</v>
      </c>
      <c r="F2620" s="287" t="s">
        <v>3565</v>
      </c>
      <c r="G2620" s="288" t="s">
        <v>3553</v>
      </c>
    </row>
    <row r="2621" spans="1:7" x14ac:dyDescent="0.2">
      <c r="A2621" s="944">
        <v>39153504800</v>
      </c>
      <c r="B2621" s="239" t="s">
        <v>2627</v>
      </c>
      <c r="C2621" s="286" t="s">
        <v>2975</v>
      </c>
      <c r="D2621" s="865" t="s">
        <v>2975</v>
      </c>
      <c r="E2621" s="287" t="s">
        <v>3562</v>
      </c>
      <c r="F2621" s="287" t="s">
        <v>5176</v>
      </c>
      <c r="G2621" s="288" t="s">
        <v>3553</v>
      </c>
    </row>
    <row r="2622" spans="1:7" x14ac:dyDescent="0.2">
      <c r="A2622" s="944">
        <v>39153505200</v>
      </c>
      <c r="B2622" s="239" t="s">
        <v>2628</v>
      </c>
      <c r="C2622" s="286" t="s">
        <v>4330</v>
      </c>
      <c r="D2622" s="865" t="s">
        <v>4330</v>
      </c>
      <c r="E2622" s="287" t="s">
        <v>3557</v>
      </c>
      <c r="F2622" s="287" t="s">
        <v>5176</v>
      </c>
      <c r="G2622" s="288" t="s">
        <v>3553</v>
      </c>
    </row>
    <row r="2623" spans="1:7" x14ac:dyDescent="0.2">
      <c r="A2623" s="944">
        <v>39153505300</v>
      </c>
      <c r="B2623" s="239" t="s">
        <v>2629</v>
      </c>
      <c r="C2623" s="286" t="s">
        <v>4330</v>
      </c>
      <c r="D2623" s="865" t="s">
        <v>4330</v>
      </c>
      <c r="E2623" s="287" t="s">
        <v>3557</v>
      </c>
      <c r="F2623" s="287" t="s">
        <v>5176</v>
      </c>
      <c r="G2623" s="288" t="s">
        <v>3553</v>
      </c>
    </row>
    <row r="2624" spans="1:7" x14ac:dyDescent="0.2">
      <c r="A2624" s="944">
        <v>39153505400</v>
      </c>
      <c r="B2624" s="239" t="s">
        <v>2630</v>
      </c>
      <c r="C2624" s="286" t="s">
        <v>2975</v>
      </c>
      <c r="D2624" s="865" t="s">
        <v>2975</v>
      </c>
      <c r="E2624" s="287" t="s">
        <v>3563</v>
      </c>
      <c r="F2624" s="287" t="s">
        <v>3559</v>
      </c>
      <c r="G2624" s="288" t="s">
        <v>3553</v>
      </c>
    </row>
    <row r="2625" spans="1:7" x14ac:dyDescent="0.2">
      <c r="A2625" s="944">
        <v>39153505500</v>
      </c>
      <c r="B2625" s="239" t="s">
        <v>2631</v>
      </c>
      <c r="C2625" s="286" t="s">
        <v>4330</v>
      </c>
      <c r="D2625" s="865" t="s">
        <v>4330</v>
      </c>
      <c r="E2625" s="287" t="s">
        <v>3566</v>
      </c>
      <c r="F2625" s="287" t="s">
        <v>5176</v>
      </c>
      <c r="G2625" s="288" t="s">
        <v>3553</v>
      </c>
    </row>
    <row r="2626" spans="1:7" x14ac:dyDescent="0.2">
      <c r="A2626" s="944">
        <v>39153505600</v>
      </c>
      <c r="B2626" s="239" t="s">
        <v>2632</v>
      </c>
      <c r="C2626" s="286" t="s">
        <v>4330</v>
      </c>
      <c r="D2626" s="865" t="s">
        <v>4330</v>
      </c>
      <c r="E2626" s="287" t="s">
        <v>3557</v>
      </c>
      <c r="F2626" s="287" t="s">
        <v>5177</v>
      </c>
      <c r="G2626" s="288" t="s">
        <v>3553</v>
      </c>
    </row>
    <row r="2627" spans="1:7" x14ac:dyDescent="0.2">
      <c r="A2627" s="944">
        <v>39153505700</v>
      </c>
      <c r="B2627" s="239" t="s">
        <v>2633</v>
      </c>
      <c r="C2627" s="286" t="s">
        <v>4330</v>
      </c>
      <c r="D2627" s="865" t="s">
        <v>4330</v>
      </c>
      <c r="E2627" s="287" t="s">
        <v>3566</v>
      </c>
      <c r="F2627" s="287" t="s">
        <v>3558</v>
      </c>
      <c r="G2627" s="288" t="s">
        <v>3553</v>
      </c>
    </row>
    <row r="2628" spans="1:7" x14ac:dyDescent="0.2">
      <c r="A2628" s="944">
        <v>39153505800</v>
      </c>
      <c r="B2628" s="239" t="s">
        <v>2634</v>
      </c>
      <c r="C2628" s="286" t="s">
        <v>4330</v>
      </c>
      <c r="D2628" s="865" t="s">
        <v>4330</v>
      </c>
      <c r="E2628" s="287" t="s">
        <v>3563</v>
      </c>
      <c r="F2628" s="287" t="s">
        <v>3565</v>
      </c>
      <c r="G2628" s="288" t="s">
        <v>3553</v>
      </c>
    </row>
    <row r="2629" spans="1:7" x14ac:dyDescent="0.2">
      <c r="A2629" s="944">
        <v>39153505900</v>
      </c>
      <c r="B2629" s="239" t="s">
        <v>2635</v>
      </c>
      <c r="C2629" s="286" t="s">
        <v>4330</v>
      </c>
      <c r="D2629" s="865" t="s">
        <v>4330</v>
      </c>
      <c r="E2629" s="287" t="s">
        <v>3563</v>
      </c>
      <c r="F2629" s="287" t="s">
        <v>3558</v>
      </c>
      <c r="G2629" s="288" t="s">
        <v>3553</v>
      </c>
    </row>
    <row r="2630" spans="1:7" x14ac:dyDescent="0.2">
      <c r="A2630" s="944">
        <v>39153506100</v>
      </c>
      <c r="B2630" s="239" t="s">
        <v>2636</v>
      </c>
      <c r="C2630" s="286" t="s">
        <v>2975</v>
      </c>
      <c r="D2630" s="865" t="s">
        <v>2975</v>
      </c>
      <c r="E2630" s="287" t="s">
        <v>3562</v>
      </c>
      <c r="F2630" s="287" t="s">
        <v>5177</v>
      </c>
      <c r="G2630" s="288" t="s">
        <v>3553</v>
      </c>
    </row>
    <row r="2631" spans="1:7" x14ac:dyDescent="0.2">
      <c r="A2631" s="944">
        <v>39153506200</v>
      </c>
      <c r="B2631" s="239" t="s">
        <v>2637</v>
      </c>
      <c r="C2631" s="286" t="s">
        <v>2975</v>
      </c>
      <c r="D2631" s="865" t="s">
        <v>2975</v>
      </c>
      <c r="E2631" s="287" t="s">
        <v>3563</v>
      </c>
      <c r="F2631" s="287" t="s">
        <v>3565</v>
      </c>
      <c r="G2631" s="288" t="s">
        <v>3553</v>
      </c>
    </row>
    <row r="2632" spans="1:7" x14ac:dyDescent="0.2">
      <c r="A2632" s="944">
        <v>39153506400</v>
      </c>
      <c r="B2632" s="239" t="s">
        <v>2638</v>
      </c>
      <c r="C2632" s="286" t="s">
        <v>4330</v>
      </c>
      <c r="D2632" s="865" t="s">
        <v>4330</v>
      </c>
      <c r="E2632" s="287" t="s">
        <v>3563</v>
      </c>
      <c r="F2632" s="287" t="s">
        <v>3559</v>
      </c>
      <c r="G2632" s="288" t="s">
        <v>3553</v>
      </c>
    </row>
    <row r="2633" spans="1:7" x14ac:dyDescent="0.2">
      <c r="A2633" s="944">
        <v>39153506500</v>
      </c>
      <c r="B2633" s="239" t="s">
        <v>2639</v>
      </c>
      <c r="C2633" s="286" t="s">
        <v>4330</v>
      </c>
      <c r="D2633" s="865" t="s">
        <v>4330</v>
      </c>
      <c r="E2633" s="287" t="s">
        <v>3557</v>
      </c>
      <c r="F2633" s="287" t="s">
        <v>3559</v>
      </c>
      <c r="G2633" s="288" t="s">
        <v>3553</v>
      </c>
    </row>
    <row r="2634" spans="1:7" x14ac:dyDescent="0.2">
      <c r="A2634" s="944">
        <v>39153506600</v>
      </c>
      <c r="B2634" s="239" t="s">
        <v>2640</v>
      </c>
      <c r="C2634" s="286" t="s">
        <v>4330</v>
      </c>
      <c r="D2634" s="865" t="s">
        <v>4330</v>
      </c>
      <c r="E2634" s="287" t="s">
        <v>3566</v>
      </c>
      <c r="F2634" s="287" t="s">
        <v>5176</v>
      </c>
      <c r="G2634" s="288" t="s">
        <v>3553</v>
      </c>
    </row>
    <row r="2635" spans="1:7" x14ac:dyDescent="0.2">
      <c r="A2635" s="944">
        <v>39153506700</v>
      </c>
      <c r="B2635" s="239" t="s">
        <v>2641</v>
      </c>
      <c r="C2635" s="286" t="s">
        <v>4330</v>
      </c>
      <c r="D2635" s="865" t="s">
        <v>4330</v>
      </c>
      <c r="E2635" s="287" t="s">
        <v>3557</v>
      </c>
      <c r="F2635" s="287" t="s">
        <v>3558</v>
      </c>
      <c r="G2635" s="288" t="s">
        <v>3553</v>
      </c>
    </row>
    <row r="2636" spans="1:7" x14ac:dyDescent="0.2">
      <c r="A2636" s="944">
        <v>39153506800</v>
      </c>
      <c r="B2636" s="239" t="s">
        <v>2642</v>
      </c>
      <c r="C2636" s="286" t="s">
        <v>4330</v>
      </c>
      <c r="D2636" s="865" t="s">
        <v>4330</v>
      </c>
      <c r="E2636" s="287" t="s">
        <v>3563</v>
      </c>
      <c r="F2636" s="287" t="s">
        <v>3565</v>
      </c>
      <c r="G2636" s="288" t="s">
        <v>3553</v>
      </c>
    </row>
    <row r="2637" spans="1:7" x14ac:dyDescent="0.2">
      <c r="A2637" s="944">
        <v>39153507101</v>
      </c>
      <c r="B2637" s="239" t="s">
        <v>2643</v>
      </c>
      <c r="C2637" s="286" t="s">
        <v>2975</v>
      </c>
      <c r="D2637" s="865" t="s">
        <v>2975</v>
      </c>
      <c r="E2637" s="287" t="s">
        <v>3557</v>
      </c>
      <c r="F2637" s="287" t="s">
        <v>5176</v>
      </c>
      <c r="G2637" s="288" t="s">
        <v>3569</v>
      </c>
    </row>
    <row r="2638" spans="1:7" x14ac:dyDescent="0.2">
      <c r="A2638" s="944">
        <v>39153507102</v>
      </c>
      <c r="B2638" s="239" t="s">
        <v>2644</v>
      </c>
      <c r="C2638" s="286" t="s">
        <v>2975</v>
      </c>
      <c r="D2638" s="865" t="s">
        <v>2975</v>
      </c>
      <c r="E2638" s="287" t="s">
        <v>3563</v>
      </c>
      <c r="F2638" s="287" t="s">
        <v>3559</v>
      </c>
      <c r="G2638" s="288" t="s">
        <v>3569</v>
      </c>
    </row>
    <row r="2639" spans="1:7" x14ac:dyDescent="0.2">
      <c r="A2639" s="944">
        <v>39153507201</v>
      </c>
      <c r="B2639" s="239" t="s">
        <v>2645</v>
      </c>
      <c r="C2639" s="286" t="s">
        <v>2975</v>
      </c>
      <c r="D2639" s="865" t="s">
        <v>2975</v>
      </c>
      <c r="E2639" s="287" t="s">
        <v>3564</v>
      </c>
      <c r="F2639" s="287" t="s">
        <v>5176</v>
      </c>
      <c r="G2639" s="288" t="s">
        <v>3569</v>
      </c>
    </row>
    <row r="2640" spans="1:7" x14ac:dyDescent="0.2">
      <c r="A2640" s="944">
        <v>39153507202</v>
      </c>
      <c r="B2640" s="239" t="s">
        <v>2646</v>
      </c>
      <c r="C2640" s="286" t="s">
        <v>2975</v>
      </c>
      <c r="D2640" s="865" t="s">
        <v>2975</v>
      </c>
      <c r="E2640" s="287" t="s">
        <v>3562</v>
      </c>
      <c r="F2640" s="287" t="s">
        <v>3559</v>
      </c>
      <c r="G2640" s="288" t="s">
        <v>3553</v>
      </c>
    </row>
    <row r="2641" spans="1:7" x14ac:dyDescent="0.2">
      <c r="A2641" s="944">
        <v>39153507203</v>
      </c>
      <c r="B2641" s="239" t="s">
        <v>2647</v>
      </c>
      <c r="C2641" s="286" t="s">
        <v>2975</v>
      </c>
      <c r="D2641" s="865" t="s">
        <v>2975</v>
      </c>
      <c r="E2641" s="287" t="s">
        <v>3563</v>
      </c>
      <c r="F2641" s="287" t="s">
        <v>3559</v>
      </c>
      <c r="G2641" s="288" t="s">
        <v>3569</v>
      </c>
    </row>
    <row r="2642" spans="1:7" x14ac:dyDescent="0.2">
      <c r="A2642" s="944">
        <v>39153507300</v>
      </c>
      <c r="B2642" s="239" t="s">
        <v>2648</v>
      </c>
      <c r="C2642" s="286" t="s">
        <v>2975</v>
      </c>
      <c r="D2642" s="865" t="s">
        <v>2975</v>
      </c>
      <c r="E2642" s="287" t="s">
        <v>3562</v>
      </c>
      <c r="F2642" s="287" t="s">
        <v>3565</v>
      </c>
      <c r="G2642" s="288" t="s">
        <v>3553</v>
      </c>
    </row>
    <row r="2643" spans="1:7" x14ac:dyDescent="0.2">
      <c r="A2643" s="944">
        <v>39153507400</v>
      </c>
      <c r="B2643" s="239" t="s">
        <v>2649</v>
      </c>
      <c r="C2643" s="286" t="s">
        <v>4330</v>
      </c>
      <c r="D2643" s="865" t="s">
        <v>4330</v>
      </c>
      <c r="E2643" s="287" t="s">
        <v>3563</v>
      </c>
      <c r="F2643" s="287" t="s">
        <v>5177</v>
      </c>
      <c r="G2643" s="288" t="s">
        <v>3553</v>
      </c>
    </row>
    <row r="2644" spans="1:7" x14ac:dyDescent="0.2">
      <c r="A2644" s="944">
        <v>39153507500</v>
      </c>
      <c r="B2644" s="239" t="s">
        <v>2650</v>
      </c>
      <c r="C2644" s="286" t="s">
        <v>4330</v>
      </c>
      <c r="D2644" s="865" t="s">
        <v>4330</v>
      </c>
      <c r="E2644" s="287" t="s">
        <v>3563</v>
      </c>
      <c r="F2644" s="287" t="s">
        <v>3565</v>
      </c>
      <c r="G2644" s="288" t="s">
        <v>3553</v>
      </c>
    </row>
    <row r="2645" spans="1:7" x14ac:dyDescent="0.2">
      <c r="A2645" s="944">
        <v>39153507600</v>
      </c>
      <c r="B2645" s="239" t="s">
        <v>2651</v>
      </c>
      <c r="C2645" s="286" t="s">
        <v>2975</v>
      </c>
      <c r="D2645" s="865" t="s">
        <v>2975</v>
      </c>
      <c r="E2645" s="287" t="s">
        <v>3562</v>
      </c>
      <c r="F2645" s="287" t="s">
        <v>3565</v>
      </c>
      <c r="G2645" s="288" t="s">
        <v>3553</v>
      </c>
    </row>
    <row r="2646" spans="1:7" x14ac:dyDescent="0.2">
      <c r="A2646" s="944">
        <v>39153508000</v>
      </c>
      <c r="B2646" s="239" t="s">
        <v>2652</v>
      </c>
      <c r="C2646" s="286" t="s">
        <v>2975</v>
      </c>
      <c r="D2646" s="865" t="s">
        <v>2975</v>
      </c>
      <c r="E2646" s="287" t="s">
        <v>3566</v>
      </c>
      <c r="F2646" s="287" t="s">
        <v>3558</v>
      </c>
      <c r="G2646" s="288" t="s">
        <v>3569</v>
      </c>
    </row>
    <row r="2647" spans="1:7" x14ac:dyDescent="0.2">
      <c r="A2647" s="944">
        <v>39153508301</v>
      </c>
      <c r="B2647" s="239" t="s">
        <v>2653</v>
      </c>
      <c r="C2647" s="286" t="s">
        <v>4330</v>
      </c>
      <c r="D2647" s="865" t="s">
        <v>4330</v>
      </c>
      <c r="E2647" s="287" t="s">
        <v>3563</v>
      </c>
      <c r="F2647" s="287" t="s">
        <v>5177</v>
      </c>
      <c r="G2647" s="288" t="s">
        <v>3553</v>
      </c>
    </row>
    <row r="2648" spans="1:7" x14ac:dyDescent="0.2">
      <c r="A2648" s="944">
        <v>39153508399</v>
      </c>
      <c r="B2648" s="239" t="s">
        <v>2654</v>
      </c>
      <c r="C2648" s="286" t="s">
        <v>4330</v>
      </c>
      <c r="D2648" s="865" t="s">
        <v>4330</v>
      </c>
      <c r="E2648" s="287" t="s">
        <v>3557</v>
      </c>
      <c r="F2648" s="287" t="s">
        <v>3560</v>
      </c>
      <c r="G2648" s="288" t="s">
        <v>3569</v>
      </c>
    </row>
    <row r="2649" spans="1:7" x14ac:dyDescent="0.2">
      <c r="A2649" s="944">
        <v>39153508600</v>
      </c>
      <c r="B2649" s="239" t="s">
        <v>2655</v>
      </c>
      <c r="C2649" s="286" t="s">
        <v>4330</v>
      </c>
      <c r="D2649" s="865" t="s">
        <v>4330</v>
      </c>
      <c r="E2649" s="287" t="s">
        <v>3564</v>
      </c>
      <c r="F2649" s="287" t="s">
        <v>3558</v>
      </c>
      <c r="G2649" s="288" t="s">
        <v>3553</v>
      </c>
    </row>
    <row r="2650" spans="1:7" x14ac:dyDescent="0.2">
      <c r="A2650" s="944">
        <v>39153508800</v>
      </c>
      <c r="B2650" s="239" t="s">
        <v>2656</v>
      </c>
      <c r="C2650" s="286" t="s">
        <v>4330</v>
      </c>
      <c r="D2650" s="865" t="s">
        <v>4330</v>
      </c>
      <c r="E2650" s="287" t="s">
        <v>3557</v>
      </c>
      <c r="F2650" s="287" t="s">
        <v>5176</v>
      </c>
      <c r="G2650" s="288" t="s">
        <v>3553</v>
      </c>
    </row>
    <row r="2651" spans="1:7" x14ac:dyDescent="0.2">
      <c r="A2651" s="944">
        <v>39153508900</v>
      </c>
      <c r="B2651" s="239" t="s">
        <v>2657</v>
      </c>
      <c r="C2651" s="286" t="s">
        <v>4330</v>
      </c>
      <c r="D2651" s="865" t="s">
        <v>4330</v>
      </c>
      <c r="E2651" s="287" t="s">
        <v>3563</v>
      </c>
      <c r="F2651" s="287" t="s">
        <v>3558</v>
      </c>
      <c r="G2651" s="288" t="s">
        <v>3553</v>
      </c>
    </row>
    <row r="2652" spans="1:7" x14ac:dyDescent="0.2">
      <c r="A2652" s="944">
        <v>39153509000</v>
      </c>
      <c r="B2652" s="239" t="s">
        <v>2658</v>
      </c>
      <c r="C2652" s="286" t="s">
        <v>4330</v>
      </c>
      <c r="D2652" s="865" t="s">
        <v>4330</v>
      </c>
      <c r="E2652" s="287" t="s">
        <v>3566</v>
      </c>
      <c r="F2652" s="287" t="s">
        <v>3559</v>
      </c>
      <c r="G2652" s="288" t="s">
        <v>3553</v>
      </c>
    </row>
    <row r="2653" spans="1:7" x14ac:dyDescent="0.2">
      <c r="A2653" s="944">
        <v>39153510100</v>
      </c>
      <c r="B2653" s="239" t="s">
        <v>2659</v>
      </c>
      <c r="C2653" s="286" t="s">
        <v>4330</v>
      </c>
      <c r="D2653" s="865" t="s">
        <v>4330</v>
      </c>
      <c r="E2653" s="287" t="s">
        <v>3557</v>
      </c>
      <c r="F2653" s="287" t="s">
        <v>3565</v>
      </c>
      <c r="G2653" s="288" t="s">
        <v>3569</v>
      </c>
    </row>
    <row r="2654" spans="1:7" x14ac:dyDescent="0.2">
      <c r="A2654" s="944">
        <v>39153510200</v>
      </c>
      <c r="B2654" s="239" t="s">
        <v>2660</v>
      </c>
      <c r="C2654" s="286" t="s">
        <v>2975</v>
      </c>
      <c r="D2654" s="865" t="s">
        <v>2975</v>
      </c>
      <c r="E2654" s="287" t="s">
        <v>3564</v>
      </c>
      <c r="F2654" s="287" t="s">
        <v>3565</v>
      </c>
      <c r="G2654" s="288" t="s">
        <v>3569</v>
      </c>
    </row>
    <row r="2655" spans="1:7" x14ac:dyDescent="0.2">
      <c r="A2655" s="944">
        <v>39153510301</v>
      </c>
      <c r="B2655" s="239" t="s">
        <v>2661</v>
      </c>
      <c r="C2655" s="286" t="s">
        <v>4330</v>
      </c>
      <c r="D2655" s="865" t="s">
        <v>4330</v>
      </c>
      <c r="E2655" s="287" t="s">
        <v>3557</v>
      </c>
      <c r="F2655" s="287" t="s">
        <v>3558</v>
      </c>
      <c r="G2655" s="288" t="s">
        <v>3569</v>
      </c>
    </row>
    <row r="2656" spans="1:7" x14ac:dyDescent="0.2">
      <c r="A2656" s="944">
        <v>39153510302</v>
      </c>
      <c r="B2656" s="239" t="s">
        <v>2662</v>
      </c>
      <c r="C2656" s="286" t="s">
        <v>2975</v>
      </c>
      <c r="D2656" s="865" t="s">
        <v>2975</v>
      </c>
      <c r="E2656" s="287" t="s">
        <v>3566</v>
      </c>
      <c r="F2656" s="287" t="s">
        <v>3559</v>
      </c>
      <c r="G2656" s="288" t="s">
        <v>3569</v>
      </c>
    </row>
    <row r="2657" spans="1:7" x14ac:dyDescent="0.2">
      <c r="A2657" s="944">
        <v>39153510400</v>
      </c>
      <c r="B2657" s="239" t="s">
        <v>2663</v>
      </c>
      <c r="C2657" s="286" t="s">
        <v>2975</v>
      </c>
      <c r="D2657" s="865" t="s">
        <v>2975</v>
      </c>
      <c r="E2657" s="287" t="s">
        <v>3564</v>
      </c>
      <c r="F2657" s="287" t="s">
        <v>3565</v>
      </c>
      <c r="G2657" s="288" t="s">
        <v>3569</v>
      </c>
    </row>
    <row r="2658" spans="1:7" x14ac:dyDescent="0.2">
      <c r="A2658" s="944">
        <v>39153510500</v>
      </c>
      <c r="B2658" s="239" t="s">
        <v>2664</v>
      </c>
      <c r="C2658" s="286" t="s">
        <v>2975</v>
      </c>
      <c r="D2658" s="865" t="s">
        <v>2975</v>
      </c>
      <c r="E2658" s="287" t="s">
        <v>3557</v>
      </c>
      <c r="F2658" s="287" t="s">
        <v>5176</v>
      </c>
      <c r="G2658" s="288" t="s">
        <v>3569</v>
      </c>
    </row>
    <row r="2659" spans="1:7" x14ac:dyDescent="0.2">
      <c r="A2659" s="944">
        <v>39153520103</v>
      </c>
      <c r="B2659" s="239" t="s">
        <v>2665</v>
      </c>
      <c r="C2659" s="286" t="s">
        <v>2975</v>
      </c>
      <c r="D2659" s="865" t="s">
        <v>2975</v>
      </c>
      <c r="E2659" s="287" t="s">
        <v>3564</v>
      </c>
      <c r="F2659" s="287" t="s">
        <v>3559</v>
      </c>
      <c r="G2659" s="288" t="s">
        <v>3569</v>
      </c>
    </row>
    <row r="2660" spans="1:7" x14ac:dyDescent="0.2">
      <c r="A2660" s="944">
        <v>39153520104</v>
      </c>
      <c r="B2660" s="239" t="s">
        <v>2666</v>
      </c>
      <c r="C2660" s="286" t="s">
        <v>2975</v>
      </c>
      <c r="D2660" s="865" t="s">
        <v>2975</v>
      </c>
      <c r="E2660" s="287" t="s">
        <v>3566</v>
      </c>
      <c r="F2660" s="287" t="s">
        <v>3559</v>
      </c>
      <c r="G2660" s="288" t="s">
        <v>3569</v>
      </c>
    </row>
    <row r="2661" spans="1:7" x14ac:dyDescent="0.2">
      <c r="A2661" s="944">
        <v>39153520105</v>
      </c>
      <c r="B2661" s="239" t="s">
        <v>2667</v>
      </c>
      <c r="C2661" s="286" t="s">
        <v>2975</v>
      </c>
      <c r="D2661" s="865" t="s">
        <v>2975</v>
      </c>
      <c r="E2661" s="287" t="s">
        <v>3564</v>
      </c>
      <c r="F2661" s="287" t="s">
        <v>3565</v>
      </c>
      <c r="G2661" s="288" t="s">
        <v>3569</v>
      </c>
    </row>
    <row r="2662" spans="1:7" x14ac:dyDescent="0.2">
      <c r="A2662" s="944">
        <v>39153520106</v>
      </c>
      <c r="B2662" s="239" t="s">
        <v>2668</v>
      </c>
      <c r="C2662" s="286" t="s">
        <v>2975</v>
      </c>
      <c r="D2662" s="865" t="s">
        <v>2975</v>
      </c>
      <c r="E2662" s="287" t="s">
        <v>3566</v>
      </c>
      <c r="F2662" s="287" t="s">
        <v>3558</v>
      </c>
      <c r="G2662" s="288" t="s">
        <v>3569</v>
      </c>
    </row>
    <row r="2663" spans="1:7" x14ac:dyDescent="0.2">
      <c r="A2663" s="944">
        <v>39153520201</v>
      </c>
      <c r="B2663" s="239" t="s">
        <v>2669</v>
      </c>
      <c r="C2663" s="286" t="s">
        <v>2975</v>
      </c>
      <c r="D2663" s="865" t="s">
        <v>2975</v>
      </c>
      <c r="E2663" s="287" t="s">
        <v>3563</v>
      </c>
      <c r="F2663" s="287" t="s">
        <v>3565</v>
      </c>
      <c r="G2663" s="288" t="s">
        <v>3569</v>
      </c>
    </row>
    <row r="2664" spans="1:7" x14ac:dyDescent="0.2">
      <c r="A2664" s="944">
        <v>39153520202</v>
      </c>
      <c r="B2664" s="239" t="s">
        <v>2670</v>
      </c>
      <c r="C2664" s="286" t="s">
        <v>2975</v>
      </c>
      <c r="D2664" s="865" t="s">
        <v>2975</v>
      </c>
      <c r="E2664" s="287" t="s">
        <v>3564</v>
      </c>
      <c r="F2664" s="287" t="s">
        <v>5177</v>
      </c>
      <c r="G2664" s="288" t="s">
        <v>3569</v>
      </c>
    </row>
    <row r="2665" spans="1:7" x14ac:dyDescent="0.2">
      <c r="A2665" s="944">
        <v>39153520301</v>
      </c>
      <c r="B2665" s="239" t="s">
        <v>2671</v>
      </c>
      <c r="C2665" s="286" t="s">
        <v>2975</v>
      </c>
      <c r="D2665" s="865" t="s">
        <v>2975</v>
      </c>
      <c r="E2665" s="287" t="s">
        <v>3566</v>
      </c>
      <c r="F2665" s="287" t="s">
        <v>3558</v>
      </c>
      <c r="G2665" s="288" t="s">
        <v>3569</v>
      </c>
    </row>
    <row r="2666" spans="1:7" x14ac:dyDescent="0.2">
      <c r="A2666" s="944">
        <v>39153520302</v>
      </c>
      <c r="B2666" s="239" t="s">
        <v>2672</v>
      </c>
      <c r="C2666" s="286" t="s">
        <v>2975</v>
      </c>
      <c r="D2666" s="865" t="s">
        <v>2975</v>
      </c>
      <c r="E2666" s="287" t="s">
        <v>3566</v>
      </c>
      <c r="F2666" s="287" t="s">
        <v>3558</v>
      </c>
      <c r="G2666" s="288" t="s">
        <v>3569</v>
      </c>
    </row>
    <row r="2667" spans="1:7" x14ac:dyDescent="0.2">
      <c r="A2667" s="944">
        <v>39153520400</v>
      </c>
      <c r="B2667" s="239" t="s">
        <v>2673</v>
      </c>
      <c r="C2667" s="286" t="s">
        <v>2975</v>
      </c>
      <c r="D2667" s="865" t="s">
        <v>2975</v>
      </c>
      <c r="E2667" s="287" t="s">
        <v>3566</v>
      </c>
      <c r="F2667" s="287" t="s">
        <v>5177</v>
      </c>
      <c r="G2667" s="288" t="s">
        <v>3569</v>
      </c>
    </row>
    <row r="2668" spans="1:7" x14ac:dyDescent="0.2">
      <c r="A2668" s="944">
        <v>39153520500</v>
      </c>
      <c r="B2668" s="239" t="s">
        <v>2674</v>
      </c>
      <c r="C2668" s="286" t="s">
        <v>2975</v>
      </c>
      <c r="D2668" s="865" t="s">
        <v>2975</v>
      </c>
      <c r="E2668" s="287" t="s">
        <v>3566</v>
      </c>
      <c r="F2668" s="287" t="s">
        <v>3558</v>
      </c>
      <c r="G2668" s="288" t="s">
        <v>3569</v>
      </c>
    </row>
    <row r="2669" spans="1:7" x14ac:dyDescent="0.2">
      <c r="A2669" s="944">
        <v>39153520600</v>
      </c>
      <c r="B2669" s="239" t="s">
        <v>2675</v>
      </c>
      <c r="C2669" s="286" t="s">
        <v>2975</v>
      </c>
      <c r="D2669" s="865" t="s">
        <v>2975</v>
      </c>
      <c r="E2669" s="287" t="s">
        <v>3563</v>
      </c>
      <c r="F2669" s="287" t="s">
        <v>5176</v>
      </c>
      <c r="G2669" s="288" t="s">
        <v>3569</v>
      </c>
    </row>
    <row r="2670" spans="1:7" x14ac:dyDescent="0.2">
      <c r="A2670" s="944">
        <v>39153530101</v>
      </c>
      <c r="B2670" s="239" t="s">
        <v>2676</v>
      </c>
      <c r="C2670" s="286" t="s">
        <v>2975</v>
      </c>
      <c r="D2670" s="865" t="s">
        <v>2975</v>
      </c>
      <c r="E2670" s="287" t="s">
        <v>3562</v>
      </c>
      <c r="F2670" s="287" t="s">
        <v>3558</v>
      </c>
      <c r="G2670" s="288" t="s">
        <v>3569</v>
      </c>
    </row>
    <row r="2671" spans="1:7" x14ac:dyDescent="0.2">
      <c r="A2671" s="944">
        <v>39153530103</v>
      </c>
      <c r="B2671" s="239" t="s">
        <v>2677</v>
      </c>
      <c r="C2671" s="286" t="s">
        <v>2975</v>
      </c>
      <c r="D2671" s="865" t="s">
        <v>2975</v>
      </c>
      <c r="E2671" s="287" t="s">
        <v>3562</v>
      </c>
      <c r="F2671" s="287" t="s">
        <v>3565</v>
      </c>
      <c r="G2671" s="288" t="s">
        <v>3569</v>
      </c>
    </row>
    <row r="2672" spans="1:7" x14ac:dyDescent="0.2">
      <c r="A2672" s="944">
        <v>39153530104</v>
      </c>
      <c r="B2672" s="239" t="s">
        <v>2678</v>
      </c>
      <c r="C2672" s="286" t="s">
        <v>2975</v>
      </c>
      <c r="D2672" s="865" t="s">
        <v>2975</v>
      </c>
      <c r="E2672" s="287" t="s">
        <v>3563</v>
      </c>
      <c r="F2672" s="287" t="s">
        <v>3558</v>
      </c>
      <c r="G2672" s="288" t="s">
        <v>3569</v>
      </c>
    </row>
    <row r="2673" spans="1:7" x14ac:dyDescent="0.2">
      <c r="A2673" s="944">
        <v>39153530105</v>
      </c>
      <c r="B2673" s="239" t="s">
        <v>2679</v>
      </c>
      <c r="C2673" s="286" t="s">
        <v>2975</v>
      </c>
      <c r="D2673" s="865" t="s">
        <v>2975</v>
      </c>
      <c r="E2673" s="287" t="s">
        <v>3566</v>
      </c>
      <c r="F2673" s="287" t="s">
        <v>5177</v>
      </c>
      <c r="G2673" s="288" t="s">
        <v>3569</v>
      </c>
    </row>
    <row r="2674" spans="1:7" x14ac:dyDescent="0.2">
      <c r="A2674" s="944">
        <v>39153530108</v>
      </c>
      <c r="B2674" s="239" t="s">
        <v>2680</v>
      </c>
      <c r="C2674" s="286" t="s">
        <v>2975</v>
      </c>
      <c r="D2674" s="865" t="s">
        <v>2975</v>
      </c>
      <c r="E2674" s="287" t="s">
        <v>3562</v>
      </c>
      <c r="F2674" s="287" t="s">
        <v>3559</v>
      </c>
      <c r="G2674" s="288" t="s">
        <v>3569</v>
      </c>
    </row>
    <row r="2675" spans="1:7" x14ac:dyDescent="0.2">
      <c r="A2675" s="944">
        <v>39153530401</v>
      </c>
      <c r="B2675" s="239" t="s">
        <v>2681</v>
      </c>
      <c r="C2675" s="286" t="s">
        <v>2975</v>
      </c>
      <c r="D2675" s="865" t="s">
        <v>2975</v>
      </c>
      <c r="E2675" s="287" t="s">
        <v>3566</v>
      </c>
      <c r="F2675" s="287" t="s">
        <v>3558</v>
      </c>
      <c r="G2675" s="288" t="s">
        <v>3569</v>
      </c>
    </row>
    <row r="2676" spans="1:7" x14ac:dyDescent="0.2">
      <c r="A2676" s="944">
        <v>39153530402</v>
      </c>
      <c r="B2676" s="239" t="s">
        <v>2682</v>
      </c>
      <c r="C2676" s="286" t="s">
        <v>2975</v>
      </c>
      <c r="D2676" s="865" t="s">
        <v>2975</v>
      </c>
      <c r="E2676" s="287" t="s">
        <v>3566</v>
      </c>
      <c r="F2676" s="287" t="s">
        <v>3558</v>
      </c>
      <c r="G2676" s="288" t="s">
        <v>3569</v>
      </c>
    </row>
    <row r="2677" spans="1:7" x14ac:dyDescent="0.2">
      <c r="A2677" s="944">
        <v>39153530501</v>
      </c>
      <c r="B2677" s="239" t="s">
        <v>2683</v>
      </c>
      <c r="C2677" s="286" t="s">
        <v>2975</v>
      </c>
      <c r="D2677" s="865" t="s">
        <v>2975</v>
      </c>
      <c r="E2677" s="287" t="s">
        <v>3563</v>
      </c>
      <c r="F2677" s="287" t="s">
        <v>5177</v>
      </c>
      <c r="G2677" s="288" t="s">
        <v>3569</v>
      </c>
    </row>
    <row r="2678" spans="1:7" x14ac:dyDescent="0.2">
      <c r="A2678" s="944">
        <v>39153530502</v>
      </c>
      <c r="B2678" s="239" t="s">
        <v>2684</v>
      </c>
      <c r="C2678" s="286" t="s">
        <v>2975</v>
      </c>
      <c r="D2678" s="865" t="s">
        <v>2975</v>
      </c>
      <c r="E2678" s="287" t="s">
        <v>3563</v>
      </c>
      <c r="F2678" s="287" t="s">
        <v>3558</v>
      </c>
      <c r="G2678" s="288" t="s">
        <v>3569</v>
      </c>
    </row>
    <row r="2679" spans="1:7" x14ac:dyDescent="0.2">
      <c r="A2679" s="944">
        <v>39153530603</v>
      </c>
      <c r="B2679" s="239" t="s">
        <v>2685</v>
      </c>
      <c r="C2679" s="286" t="s">
        <v>2975</v>
      </c>
      <c r="D2679" s="865" t="s">
        <v>2975</v>
      </c>
      <c r="E2679" s="287" t="s">
        <v>3563</v>
      </c>
      <c r="F2679" s="287" t="s">
        <v>3565</v>
      </c>
      <c r="G2679" s="288" t="s">
        <v>3569</v>
      </c>
    </row>
    <row r="2680" spans="1:7" x14ac:dyDescent="0.2">
      <c r="A2680" s="944">
        <v>39153530604</v>
      </c>
      <c r="B2680" s="239" t="s">
        <v>2686</v>
      </c>
      <c r="C2680" s="286" t="s">
        <v>2975</v>
      </c>
      <c r="D2680" s="865" t="s">
        <v>2975</v>
      </c>
      <c r="E2680" s="287" t="s">
        <v>3563</v>
      </c>
      <c r="F2680" s="287" t="s">
        <v>3559</v>
      </c>
      <c r="G2680" s="288" t="s">
        <v>3569</v>
      </c>
    </row>
    <row r="2681" spans="1:7" x14ac:dyDescent="0.2">
      <c r="A2681" s="944">
        <v>39153530605</v>
      </c>
      <c r="B2681" s="239" t="s">
        <v>2687</v>
      </c>
      <c r="C2681" s="286" t="s">
        <v>2975</v>
      </c>
      <c r="D2681" s="865" t="s">
        <v>2975</v>
      </c>
      <c r="E2681" s="287" t="s">
        <v>3563</v>
      </c>
      <c r="F2681" s="287" t="s">
        <v>3565</v>
      </c>
      <c r="G2681" s="288" t="s">
        <v>3569</v>
      </c>
    </row>
    <row r="2682" spans="1:7" x14ac:dyDescent="0.2">
      <c r="A2682" s="944">
        <v>39153530606</v>
      </c>
      <c r="B2682" s="239" t="s">
        <v>2688</v>
      </c>
      <c r="C2682" s="286" t="s">
        <v>2975</v>
      </c>
      <c r="D2682" s="865" t="s">
        <v>2975</v>
      </c>
      <c r="E2682" s="287" t="s">
        <v>3563</v>
      </c>
      <c r="F2682" s="287" t="s">
        <v>5177</v>
      </c>
      <c r="G2682" s="288" t="s">
        <v>3569</v>
      </c>
    </row>
    <row r="2683" spans="1:7" x14ac:dyDescent="0.2">
      <c r="A2683" s="944">
        <v>39153530700</v>
      </c>
      <c r="B2683" s="239" t="s">
        <v>2689</v>
      </c>
      <c r="C2683" s="286" t="s">
        <v>2975</v>
      </c>
      <c r="D2683" s="865" t="s">
        <v>2975</v>
      </c>
      <c r="E2683" s="287" t="s">
        <v>3562</v>
      </c>
      <c r="F2683" s="287" t="s">
        <v>3559</v>
      </c>
      <c r="G2683" s="288" t="s">
        <v>3569</v>
      </c>
    </row>
    <row r="2684" spans="1:7" x14ac:dyDescent="0.2">
      <c r="A2684" s="944">
        <v>39153530800</v>
      </c>
      <c r="B2684" s="239" t="s">
        <v>2690</v>
      </c>
      <c r="C2684" s="286" t="s">
        <v>2975</v>
      </c>
      <c r="D2684" s="865" t="s">
        <v>2975</v>
      </c>
      <c r="E2684" s="287" t="s">
        <v>3566</v>
      </c>
      <c r="F2684" s="287" t="s">
        <v>3558</v>
      </c>
      <c r="G2684" s="288" t="s">
        <v>3569</v>
      </c>
    </row>
    <row r="2685" spans="1:7" x14ac:dyDescent="0.2">
      <c r="A2685" s="944">
        <v>39153530901</v>
      </c>
      <c r="B2685" s="239" t="s">
        <v>2691</v>
      </c>
      <c r="C2685" s="286" t="s">
        <v>2975</v>
      </c>
      <c r="D2685" s="865" t="s">
        <v>2975</v>
      </c>
      <c r="E2685" s="287" t="s">
        <v>3566</v>
      </c>
      <c r="F2685" s="287" t="s">
        <v>5177</v>
      </c>
      <c r="G2685" s="288" t="s">
        <v>3569</v>
      </c>
    </row>
    <row r="2686" spans="1:7" x14ac:dyDescent="0.2">
      <c r="A2686" s="944">
        <v>39153530902</v>
      </c>
      <c r="B2686" s="239" t="s">
        <v>2692</v>
      </c>
      <c r="C2686" s="286" t="s">
        <v>2975</v>
      </c>
      <c r="D2686" s="865" t="s">
        <v>2975</v>
      </c>
      <c r="E2686" s="287" t="s">
        <v>3566</v>
      </c>
      <c r="F2686" s="287" t="s">
        <v>5177</v>
      </c>
      <c r="G2686" s="288" t="s">
        <v>3569</v>
      </c>
    </row>
    <row r="2687" spans="1:7" x14ac:dyDescent="0.2">
      <c r="A2687" s="944">
        <v>39153530903</v>
      </c>
      <c r="B2687" s="239" t="s">
        <v>2693</v>
      </c>
      <c r="C2687" s="286" t="s">
        <v>2975</v>
      </c>
      <c r="D2687" s="865" t="s">
        <v>2975</v>
      </c>
      <c r="E2687" s="287" t="s">
        <v>3563</v>
      </c>
      <c r="F2687" s="287" t="s">
        <v>5177</v>
      </c>
      <c r="G2687" s="288" t="s">
        <v>3569</v>
      </c>
    </row>
    <row r="2688" spans="1:7" x14ac:dyDescent="0.2">
      <c r="A2688" s="944">
        <v>39153531001</v>
      </c>
      <c r="B2688" s="239" t="s">
        <v>2694</v>
      </c>
      <c r="C2688" s="286" t="s">
        <v>2975</v>
      </c>
      <c r="D2688" s="865" t="s">
        <v>2975</v>
      </c>
      <c r="E2688" s="287" t="s">
        <v>3566</v>
      </c>
      <c r="F2688" s="287" t="s">
        <v>3559</v>
      </c>
      <c r="G2688" s="288" t="s">
        <v>3569</v>
      </c>
    </row>
    <row r="2689" spans="1:7" x14ac:dyDescent="0.2">
      <c r="A2689" s="944">
        <v>39153531002</v>
      </c>
      <c r="B2689" s="239" t="s">
        <v>2695</v>
      </c>
      <c r="C2689" s="286" t="s">
        <v>2975</v>
      </c>
      <c r="D2689" s="865" t="s">
        <v>2975</v>
      </c>
      <c r="E2689" s="287" t="s">
        <v>3564</v>
      </c>
      <c r="F2689" s="287" t="s">
        <v>3558</v>
      </c>
      <c r="G2689" s="288" t="s">
        <v>3569</v>
      </c>
    </row>
    <row r="2690" spans="1:7" x14ac:dyDescent="0.2">
      <c r="A2690" s="944">
        <v>39153531101</v>
      </c>
      <c r="B2690" s="239" t="s">
        <v>2696</v>
      </c>
      <c r="C2690" s="286" t="s">
        <v>2975</v>
      </c>
      <c r="D2690" s="865" t="s">
        <v>2975</v>
      </c>
      <c r="E2690" s="287" t="s">
        <v>3564</v>
      </c>
      <c r="F2690" s="287" t="s">
        <v>3565</v>
      </c>
      <c r="G2690" s="288" t="s">
        <v>3569</v>
      </c>
    </row>
    <row r="2691" spans="1:7" x14ac:dyDescent="0.2">
      <c r="A2691" s="944">
        <v>39153531102</v>
      </c>
      <c r="B2691" s="239" t="s">
        <v>2697</v>
      </c>
      <c r="C2691" s="286" t="s">
        <v>2975</v>
      </c>
      <c r="D2691" s="865" t="s">
        <v>2975</v>
      </c>
      <c r="E2691" s="287" t="s">
        <v>3564</v>
      </c>
      <c r="F2691" s="287" t="s">
        <v>3559</v>
      </c>
      <c r="G2691" s="288" t="s">
        <v>3569</v>
      </c>
    </row>
    <row r="2692" spans="1:7" x14ac:dyDescent="0.2">
      <c r="A2692" s="944">
        <v>39153531103</v>
      </c>
      <c r="B2692" s="239" t="s">
        <v>2698</v>
      </c>
      <c r="C2692" s="286" t="s">
        <v>2975</v>
      </c>
      <c r="D2692" s="865" t="s">
        <v>2975</v>
      </c>
      <c r="E2692" s="287" t="s">
        <v>3566</v>
      </c>
      <c r="F2692" s="287" t="s">
        <v>3558</v>
      </c>
      <c r="G2692" s="288" t="s">
        <v>3569</v>
      </c>
    </row>
    <row r="2693" spans="1:7" x14ac:dyDescent="0.2">
      <c r="A2693" s="944">
        <v>39153531401</v>
      </c>
      <c r="B2693" s="239" t="s">
        <v>2699</v>
      </c>
      <c r="C2693" s="286" t="s">
        <v>2975</v>
      </c>
      <c r="D2693" s="865" t="s">
        <v>2975</v>
      </c>
      <c r="E2693" s="287" t="s">
        <v>3563</v>
      </c>
      <c r="F2693" s="287" t="s">
        <v>3565</v>
      </c>
      <c r="G2693" s="288" t="s">
        <v>3569</v>
      </c>
    </row>
    <row r="2694" spans="1:7" x14ac:dyDescent="0.2">
      <c r="A2694" s="944">
        <v>39153531405</v>
      </c>
      <c r="B2694" s="239" t="s">
        <v>2700</v>
      </c>
      <c r="C2694" s="286" t="s">
        <v>2975</v>
      </c>
      <c r="D2694" s="865" t="s">
        <v>2975</v>
      </c>
      <c r="E2694" s="287" t="s">
        <v>3563</v>
      </c>
      <c r="F2694" s="287" t="s">
        <v>3565</v>
      </c>
      <c r="G2694" s="288" t="s">
        <v>3569</v>
      </c>
    </row>
    <row r="2695" spans="1:7" x14ac:dyDescent="0.2">
      <c r="A2695" s="944">
        <v>39153531500</v>
      </c>
      <c r="B2695" s="239" t="s">
        <v>2701</v>
      </c>
      <c r="C2695" s="286" t="s">
        <v>2975</v>
      </c>
      <c r="D2695" s="865" t="s">
        <v>2975</v>
      </c>
      <c r="E2695" s="287" t="s">
        <v>3563</v>
      </c>
      <c r="F2695" s="287" t="s">
        <v>3558</v>
      </c>
      <c r="G2695" s="288" t="s">
        <v>3569</v>
      </c>
    </row>
    <row r="2696" spans="1:7" x14ac:dyDescent="0.2">
      <c r="A2696" s="944">
        <v>39153531601</v>
      </c>
      <c r="B2696" s="239" t="s">
        <v>2702</v>
      </c>
      <c r="C2696" s="286" t="s">
        <v>2975</v>
      </c>
      <c r="D2696" s="865" t="s">
        <v>2975</v>
      </c>
      <c r="E2696" s="287" t="s">
        <v>3566</v>
      </c>
      <c r="F2696" s="287" t="s">
        <v>3565</v>
      </c>
      <c r="G2696" s="288" t="s">
        <v>3569</v>
      </c>
    </row>
    <row r="2697" spans="1:7" x14ac:dyDescent="0.2">
      <c r="A2697" s="944">
        <v>39153531602</v>
      </c>
      <c r="B2697" s="239" t="s">
        <v>2703</v>
      </c>
      <c r="C2697" s="286" t="s">
        <v>2975</v>
      </c>
      <c r="D2697" s="865" t="s">
        <v>2975</v>
      </c>
      <c r="E2697" s="287" t="s">
        <v>3566</v>
      </c>
      <c r="F2697" s="287" t="s">
        <v>3565</v>
      </c>
      <c r="G2697" s="288" t="s">
        <v>3569</v>
      </c>
    </row>
    <row r="2698" spans="1:7" x14ac:dyDescent="0.2">
      <c r="A2698" s="944">
        <v>39153531701</v>
      </c>
      <c r="B2698" s="239" t="s">
        <v>2704</v>
      </c>
      <c r="C2698" s="286" t="s">
        <v>2975</v>
      </c>
      <c r="D2698" s="865" t="s">
        <v>2975</v>
      </c>
      <c r="E2698" s="287" t="s">
        <v>3564</v>
      </c>
      <c r="F2698" s="287" t="s">
        <v>3559</v>
      </c>
      <c r="G2698" s="288" t="s">
        <v>3569</v>
      </c>
    </row>
    <row r="2699" spans="1:7" x14ac:dyDescent="0.2">
      <c r="A2699" s="944">
        <v>39153531702</v>
      </c>
      <c r="B2699" s="239" t="s">
        <v>2705</v>
      </c>
      <c r="C2699" s="286" t="s">
        <v>2975</v>
      </c>
      <c r="D2699" s="865" t="s">
        <v>2975</v>
      </c>
      <c r="E2699" s="287" t="s">
        <v>3566</v>
      </c>
      <c r="F2699" s="287" t="s">
        <v>3565</v>
      </c>
      <c r="G2699" s="288" t="s">
        <v>3569</v>
      </c>
    </row>
    <row r="2700" spans="1:7" x14ac:dyDescent="0.2">
      <c r="A2700" s="944">
        <v>39153531801</v>
      </c>
      <c r="B2700" s="239" t="s">
        <v>2706</v>
      </c>
      <c r="C2700" s="286" t="s">
        <v>2975</v>
      </c>
      <c r="D2700" s="865" t="s">
        <v>2975</v>
      </c>
      <c r="E2700" s="287" t="s">
        <v>3564</v>
      </c>
      <c r="F2700" s="287" t="s">
        <v>3559</v>
      </c>
      <c r="G2700" s="288" t="s">
        <v>3569</v>
      </c>
    </row>
    <row r="2701" spans="1:7" x14ac:dyDescent="0.2">
      <c r="A2701" s="944">
        <v>39153531802</v>
      </c>
      <c r="B2701" s="239" t="s">
        <v>2707</v>
      </c>
      <c r="C2701" s="286" t="s">
        <v>2975</v>
      </c>
      <c r="D2701" s="865" t="s">
        <v>2975</v>
      </c>
      <c r="E2701" s="287" t="s">
        <v>3564</v>
      </c>
      <c r="F2701" s="287" t="s">
        <v>3559</v>
      </c>
      <c r="G2701" s="288" t="s">
        <v>3569</v>
      </c>
    </row>
    <row r="2702" spans="1:7" x14ac:dyDescent="0.2">
      <c r="A2702" s="944">
        <v>39153532001</v>
      </c>
      <c r="B2702" s="239" t="s">
        <v>2708</v>
      </c>
      <c r="C2702" s="286" t="s">
        <v>2975</v>
      </c>
      <c r="D2702" s="865" t="s">
        <v>2975</v>
      </c>
      <c r="E2702" s="287" t="s">
        <v>3564</v>
      </c>
      <c r="F2702" s="287" t="s">
        <v>3559</v>
      </c>
      <c r="G2702" s="288" t="s">
        <v>3569</v>
      </c>
    </row>
    <row r="2703" spans="1:7" x14ac:dyDescent="0.2">
      <c r="A2703" s="944">
        <v>39153532003</v>
      </c>
      <c r="B2703" s="239" t="s">
        <v>2709</v>
      </c>
      <c r="C2703" s="286" t="s">
        <v>2975</v>
      </c>
      <c r="D2703" s="865" t="s">
        <v>2975</v>
      </c>
      <c r="E2703" s="287" t="s">
        <v>3566</v>
      </c>
      <c r="F2703" s="287" t="s">
        <v>5176</v>
      </c>
      <c r="G2703" s="288" t="s">
        <v>3569</v>
      </c>
    </row>
    <row r="2704" spans="1:7" x14ac:dyDescent="0.2">
      <c r="A2704" s="944">
        <v>39153532004</v>
      </c>
      <c r="B2704" s="239" t="s">
        <v>2710</v>
      </c>
      <c r="C2704" s="286" t="s">
        <v>2975</v>
      </c>
      <c r="D2704" s="865" t="s">
        <v>2975</v>
      </c>
      <c r="E2704" s="287" t="s">
        <v>3563</v>
      </c>
      <c r="F2704" s="287" t="s">
        <v>3565</v>
      </c>
      <c r="G2704" s="288" t="s">
        <v>3569</v>
      </c>
    </row>
    <row r="2705" spans="1:7" x14ac:dyDescent="0.2">
      <c r="A2705" s="944">
        <v>39153532202</v>
      </c>
      <c r="B2705" s="239" t="s">
        <v>2711</v>
      </c>
      <c r="C2705" s="286" t="s">
        <v>2975</v>
      </c>
      <c r="D2705" s="865" t="s">
        <v>2975</v>
      </c>
      <c r="E2705" s="287" t="s">
        <v>3562</v>
      </c>
      <c r="F2705" s="287" t="s">
        <v>5176</v>
      </c>
      <c r="G2705" s="288" t="s">
        <v>3569</v>
      </c>
    </row>
    <row r="2706" spans="1:7" x14ac:dyDescent="0.2">
      <c r="A2706" s="944">
        <v>39153532301</v>
      </c>
      <c r="B2706" s="239" t="s">
        <v>2712</v>
      </c>
      <c r="C2706" s="286" t="s">
        <v>2975</v>
      </c>
      <c r="D2706" s="865" t="s">
        <v>2975</v>
      </c>
      <c r="E2706" s="287" t="s">
        <v>3562</v>
      </c>
      <c r="F2706" s="287" t="s">
        <v>3559</v>
      </c>
      <c r="G2706" s="288" t="s">
        <v>3568</v>
      </c>
    </row>
    <row r="2707" spans="1:7" x14ac:dyDescent="0.2">
      <c r="A2707" s="944">
        <v>39153532302</v>
      </c>
      <c r="B2707" s="239" t="s">
        <v>2713</v>
      </c>
      <c r="C2707" s="286" t="s">
        <v>2975</v>
      </c>
      <c r="D2707" s="865" t="s">
        <v>2975</v>
      </c>
      <c r="E2707" s="287" t="s">
        <v>3562</v>
      </c>
      <c r="F2707" s="287" t="s">
        <v>3565</v>
      </c>
      <c r="G2707" s="288" t="s">
        <v>3569</v>
      </c>
    </row>
    <row r="2708" spans="1:7" x14ac:dyDescent="0.2">
      <c r="A2708" s="944">
        <v>39153532501</v>
      </c>
      <c r="B2708" s="239" t="s">
        <v>2714</v>
      </c>
      <c r="C2708" s="286" t="s">
        <v>2975</v>
      </c>
      <c r="D2708" s="865" t="s">
        <v>2975</v>
      </c>
      <c r="E2708" s="287" t="s">
        <v>3562</v>
      </c>
      <c r="F2708" s="287" t="s">
        <v>5176</v>
      </c>
      <c r="G2708" s="288" t="s">
        <v>3568</v>
      </c>
    </row>
    <row r="2709" spans="1:7" x14ac:dyDescent="0.2">
      <c r="A2709" s="944">
        <v>39153532502</v>
      </c>
      <c r="B2709" s="239" t="s">
        <v>2715</v>
      </c>
      <c r="C2709" s="286" t="s">
        <v>2975</v>
      </c>
      <c r="D2709" s="865" t="s">
        <v>2975</v>
      </c>
      <c r="E2709" s="287" t="s">
        <v>3562</v>
      </c>
      <c r="F2709" s="287" t="s">
        <v>3558</v>
      </c>
      <c r="G2709" s="288" t="s">
        <v>3569</v>
      </c>
    </row>
    <row r="2710" spans="1:7" x14ac:dyDescent="0.2">
      <c r="A2710" s="944">
        <v>39153532600</v>
      </c>
      <c r="B2710" s="239" t="s">
        <v>2716</v>
      </c>
      <c r="C2710" s="286" t="s">
        <v>2975</v>
      </c>
      <c r="D2710" s="865" t="s">
        <v>2975</v>
      </c>
      <c r="E2710" s="287" t="s">
        <v>3563</v>
      </c>
      <c r="F2710" s="287" t="s">
        <v>3565</v>
      </c>
      <c r="G2710" s="288" t="s">
        <v>3569</v>
      </c>
    </row>
    <row r="2711" spans="1:7" x14ac:dyDescent="0.2">
      <c r="A2711" s="944">
        <v>39153532701</v>
      </c>
      <c r="B2711" s="239" t="s">
        <v>2717</v>
      </c>
      <c r="C2711" s="286" t="s">
        <v>2975</v>
      </c>
      <c r="D2711" s="865" t="s">
        <v>2975</v>
      </c>
      <c r="E2711" s="287" t="s">
        <v>3562</v>
      </c>
      <c r="F2711" s="287" t="s">
        <v>3559</v>
      </c>
      <c r="G2711" s="288" t="s">
        <v>3569</v>
      </c>
    </row>
    <row r="2712" spans="1:7" x14ac:dyDescent="0.2">
      <c r="A2712" s="944">
        <v>39153532702</v>
      </c>
      <c r="B2712" s="239" t="s">
        <v>2718</v>
      </c>
      <c r="C2712" s="286" t="s">
        <v>2975</v>
      </c>
      <c r="D2712" s="865" t="s">
        <v>2975</v>
      </c>
      <c r="E2712" s="287" t="s">
        <v>3566</v>
      </c>
      <c r="F2712" s="287" t="s">
        <v>3559</v>
      </c>
      <c r="G2712" s="288" t="s">
        <v>3569</v>
      </c>
    </row>
    <row r="2713" spans="1:7" x14ac:dyDescent="0.2">
      <c r="A2713" s="944">
        <v>39153532703</v>
      </c>
      <c r="B2713" s="239" t="s">
        <v>2719</v>
      </c>
      <c r="C2713" s="286" t="s">
        <v>2975</v>
      </c>
      <c r="D2713" s="865" t="s">
        <v>2975</v>
      </c>
      <c r="E2713" s="287" t="s">
        <v>3563</v>
      </c>
      <c r="F2713" s="287" t="s">
        <v>3559</v>
      </c>
      <c r="G2713" s="288" t="s">
        <v>3569</v>
      </c>
    </row>
    <row r="2714" spans="1:7" x14ac:dyDescent="0.2">
      <c r="A2714" s="944">
        <v>39153532705</v>
      </c>
      <c r="B2714" s="239" t="s">
        <v>2720</v>
      </c>
      <c r="C2714" s="286" t="s">
        <v>2975</v>
      </c>
      <c r="D2714" s="865" t="s">
        <v>2975</v>
      </c>
      <c r="E2714" s="287" t="s">
        <v>3563</v>
      </c>
      <c r="F2714" s="287" t="s">
        <v>3559</v>
      </c>
      <c r="G2714" s="288" t="s">
        <v>3569</v>
      </c>
    </row>
    <row r="2715" spans="1:7" x14ac:dyDescent="0.2">
      <c r="A2715" s="944">
        <v>39153532706</v>
      </c>
      <c r="B2715" s="239" t="s">
        <v>2721</v>
      </c>
      <c r="C2715" s="286" t="s">
        <v>2975</v>
      </c>
      <c r="D2715" s="865" t="s">
        <v>2975</v>
      </c>
      <c r="E2715" s="287" t="s">
        <v>3563</v>
      </c>
      <c r="F2715" s="287" t="s">
        <v>3559</v>
      </c>
      <c r="G2715" s="288" t="s">
        <v>3569</v>
      </c>
    </row>
    <row r="2716" spans="1:7" x14ac:dyDescent="0.2">
      <c r="A2716" s="944">
        <v>39153532708</v>
      </c>
      <c r="B2716" s="239" t="s">
        <v>2722</v>
      </c>
      <c r="C2716" s="286" t="s">
        <v>2975</v>
      </c>
      <c r="D2716" s="865" t="s">
        <v>2975</v>
      </c>
      <c r="E2716" s="287" t="s">
        <v>3562</v>
      </c>
      <c r="F2716" s="287" t="s">
        <v>3565</v>
      </c>
      <c r="G2716" s="288" t="s">
        <v>3569</v>
      </c>
    </row>
    <row r="2717" spans="1:7" x14ac:dyDescent="0.2">
      <c r="A2717" s="944">
        <v>39153532901</v>
      </c>
      <c r="B2717" s="239" t="s">
        <v>2723</v>
      </c>
      <c r="C2717" s="286" t="s">
        <v>2975</v>
      </c>
      <c r="D2717" s="865" t="s">
        <v>2975</v>
      </c>
      <c r="E2717" s="287" t="s">
        <v>3566</v>
      </c>
      <c r="F2717" s="287" t="s">
        <v>5176</v>
      </c>
      <c r="G2717" s="288" t="s">
        <v>3569</v>
      </c>
    </row>
    <row r="2718" spans="1:7" x14ac:dyDescent="0.2">
      <c r="A2718" s="944">
        <v>39153532902</v>
      </c>
      <c r="B2718" s="239" t="s">
        <v>2724</v>
      </c>
      <c r="C2718" s="286" t="s">
        <v>2975</v>
      </c>
      <c r="D2718" s="865" t="s">
        <v>2975</v>
      </c>
      <c r="E2718" s="287" t="s">
        <v>3563</v>
      </c>
      <c r="F2718" s="287" t="s">
        <v>3558</v>
      </c>
      <c r="G2718" s="288" t="s">
        <v>3569</v>
      </c>
    </row>
    <row r="2719" spans="1:7" x14ac:dyDescent="0.2">
      <c r="A2719" s="944">
        <v>39153532999</v>
      </c>
      <c r="B2719" s="239" t="s">
        <v>2725</v>
      </c>
      <c r="C2719" s="286" t="s">
        <v>2975</v>
      </c>
      <c r="D2719" s="865" t="s">
        <v>2975</v>
      </c>
      <c r="E2719" s="287" t="s">
        <v>3563</v>
      </c>
      <c r="F2719" s="287" t="s">
        <v>3559</v>
      </c>
      <c r="G2719" s="288" t="s">
        <v>3569</v>
      </c>
    </row>
    <row r="2720" spans="1:7" x14ac:dyDescent="0.2">
      <c r="A2720" s="944">
        <v>39153533000</v>
      </c>
      <c r="B2720" s="239" t="s">
        <v>2726</v>
      </c>
      <c r="C2720" s="286" t="s">
        <v>2975</v>
      </c>
      <c r="D2720" s="865" t="s">
        <v>2975</v>
      </c>
      <c r="E2720" s="287" t="s">
        <v>3564</v>
      </c>
      <c r="F2720" s="287" t="s">
        <v>3559</v>
      </c>
      <c r="G2720" s="288" t="s">
        <v>3569</v>
      </c>
    </row>
    <row r="2721" spans="1:7" x14ac:dyDescent="0.2">
      <c r="A2721" s="944">
        <v>39153533101</v>
      </c>
      <c r="B2721" s="239" t="s">
        <v>2727</v>
      </c>
      <c r="C2721" s="286" t="s">
        <v>2975</v>
      </c>
      <c r="D2721" s="865" t="s">
        <v>2975</v>
      </c>
      <c r="E2721" s="287" t="s">
        <v>3562</v>
      </c>
      <c r="F2721" s="287" t="s">
        <v>3558</v>
      </c>
      <c r="G2721" s="288" t="s">
        <v>3569</v>
      </c>
    </row>
    <row r="2722" spans="1:7" x14ac:dyDescent="0.2">
      <c r="A2722" s="944">
        <v>39153533102</v>
      </c>
      <c r="B2722" s="239" t="s">
        <v>2728</v>
      </c>
      <c r="C2722" s="286" t="s">
        <v>2975</v>
      </c>
      <c r="D2722" s="865" t="s">
        <v>2975</v>
      </c>
      <c r="E2722" s="287" t="s">
        <v>3562</v>
      </c>
      <c r="F2722" s="287" t="s">
        <v>5177</v>
      </c>
      <c r="G2722" s="288" t="s">
        <v>3569</v>
      </c>
    </row>
    <row r="2723" spans="1:7" x14ac:dyDescent="0.2">
      <c r="A2723" s="944">
        <v>39153533200</v>
      </c>
      <c r="B2723" s="239" t="s">
        <v>2729</v>
      </c>
      <c r="C2723" s="286" t="s">
        <v>2975</v>
      </c>
      <c r="D2723" s="865" t="s">
        <v>2975</v>
      </c>
      <c r="E2723" s="287" t="s">
        <v>3562</v>
      </c>
      <c r="F2723" s="287" t="s">
        <v>3565</v>
      </c>
      <c r="G2723" s="288" t="s">
        <v>3569</v>
      </c>
    </row>
    <row r="2724" spans="1:7" x14ac:dyDescent="0.2">
      <c r="A2724" s="944">
        <v>39153533400</v>
      </c>
      <c r="B2724" s="239" t="s">
        <v>2730</v>
      </c>
      <c r="C2724" s="286" t="s">
        <v>2975</v>
      </c>
      <c r="D2724" s="865" t="s">
        <v>2975</v>
      </c>
      <c r="E2724" s="287" t="s">
        <v>3562</v>
      </c>
      <c r="F2724" s="287" t="s">
        <v>3559</v>
      </c>
      <c r="G2724" s="288" t="s">
        <v>3568</v>
      </c>
    </row>
    <row r="2725" spans="1:7" x14ac:dyDescent="0.2">
      <c r="A2725" s="944">
        <v>39153533501</v>
      </c>
      <c r="B2725" s="239" t="s">
        <v>2731</v>
      </c>
      <c r="C2725" s="286" t="s">
        <v>2975</v>
      </c>
      <c r="D2725" s="865" t="s">
        <v>2975</v>
      </c>
      <c r="E2725" s="287" t="s">
        <v>3562</v>
      </c>
      <c r="F2725" s="287" t="s">
        <v>3558</v>
      </c>
      <c r="G2725" s="288" t="s">
        <v>3569</v>
      </c>
    </row>
    <row r="2726" spans="1:7" x14ac:dyDescent="0.2">
      <c r="A2726" s="944">
        <v>39153533502</v>
      </c>
      <c r="B2726" s="239" t="s">
        <v>2732</v>
      </c>
      <c r="C2726" s="286" t="s">
        <v>2975</v>
      </c>
      <c r="D2726" s="865" t="s">
        <v>2975</v>
      </c>
      <c r="E2726" s="287" t="s">
        <v>3562</v>
      </c>
      <c r="F2726" s="287" t="s">
        <v>5177</v>
      </c>
      <c r="G2726" s="288" t="s">
        <v>3568</v>
      </c>
    </row>
    <row r="2727" spans="1:7" x14ac:dyDescent="0.2">
      <c r="A2727" s="944">
        <v>39153534000</v>
      </c>
      <c r="B2727" s="239" t="s">
        <v>2733</v>
      </c>
      <c r="C2727" s="286" t="s">
        <v>2975</v>
      </c>
      <c r="D2727" s="865" t="s">
        <v>2975</v>
      </c>
      <c r="E2727" s="287" t="s">
        <v>3562</v>
      </c>
      <c r="F2727" s="287" t="s">
        <v>3559</v>
      </c>
      <c r="G2727" s="288" t="s">
        <v>3569</v>
      </c>
    </row>
    <row r="2728" spans="1:7" x14ac:dyDescent="0.2">
      <c r="A2728" s="944">
        <v>39153534100</v>
      </c>
      <c r="B2728" s="239" t="s">
        <v>2734</v>
      </c>
      <c r="C2728" s="286" t="s">
        <v>2975</v>
      </c>
      <c r="D2728" s="865" t="s">
        <v>2975</v>
      </c>
      <c r="E2728" s="287" t="s">
        <v>3562</v>
      </c>
      <c r="F2728" s="287" t="s">
        <v>3565</v>
      </c>
      <c r="G2728" s="288" t="s">
        <v>3569</v>
      </c>
    </row>
    <row r="2729" spans="1:7" x14ac:dyDescent="0.2">
      <c r="A2729" s="944">
        <v>39155920300</v>
      </c>
      <c r="B2729" s="239" t="s">
        <v>2735</v>
      </c>
      <c r="C2729" s="286" t="s">
        <v>2975</v>
      </c>
      <c r="D2729" s="865" t="s">
        <v>2975</v>
      </c>
      <c r="E2729" s="287" t="s">
        <v>3562</v>
      </c>
      <c r="F2729" s="287" t="s">
        <v>5176</v>
      </c>
      <c r="G2729" s="288" t="s">
        <v>3553</v>
      </c>
    </row>
    <row r="2730" spans="1:7" x14ac:dyDescent="0.2">
      <c r="A2730" s="944">
        <v>39155920400</v>
      </c>
      <c r="B2730" s="239" t="s">
        <v>2736</v>
      </c>
      <c r="C2730" s="286" t="s">
        <v>4330</v>
      </c>
      <c r="D2730" s="865" t="s">
        <v>4330</v>
      </c>
      <c r="E2730" s="287" t="s">
        <v>3563</v>
      </c>
      <c r="F2730" s="287" t="s">
        <v>5177</v>
      </c>
      <c r="G2730" s="288" t="s">
        <v>3553</v>
      </c>
    </row>
    <row r="2731" spans="1:7" x14ac:dyDescent="0.2">
      <c r="A2731" s="944">
        <v>39155920500</v>
      </c>
      <c r="B2731" s="239" t="s">
        <v>2737</v>
      </c>
      <c r="C2731" s="286" t="s">
        <v>4330</v>
      </c>
      <c r="D2731" s="865" t="s">
        <v>4330</v>
      </c>
      <c r="E2731" s="287" t="s">
        <v>3557</v>
      </c>
      <c r="F2731" s="287" t="s">
        <v>5177</v>
      </c>
      <c r="G2731" s="288" t="s">
        <v>3569</v>
      </c>
    </row>
    <row r="2732" spans="1:7" x14ac:dyDescent="0.2">
      <c r="A2732" s="944">
        <v>39155920600</v>
      </c>
      <c r="B2732" s="239" t="s">
        <v>2738</v>
      </c>
      <c r="C2732" s="286" t="s">
        <v>4330</v>
      </c>
      <c r="D2732" s="865" t="s">
        <v>4330</v>
      </c>
      <c r="E2732" s="287" t="s">
        <v>3557</v>
      </c>
      <c r="F2732" s="287" t="s">
        <v>3565</v>
      </c>
      <c r="G2732" s="288" t="s">
        <v>3569</v>
      </c>
    </row>
    <row r="2733" spans="1:7" x14ac:dyDescent="0.2">
      <c r="A2733" s="944">
        <v>39155920700</v>
      </c>
      <c r="B2733" s="239" t="s">
        <v>2739</v>
      </c>
      <c r="C2733" s="286" t="s">
        <v>4330</v>
      </c>
      <c r="D2733" s="865" t="s">
        <v>4330</v>
      </c>
      <c r="E2733" s="287" t="s">
        <v>3557</v>
      </c>
      <c r="F2733" s="287" t="s">
        <v>5176</v>
      </c>
      <c r="G2733" s="288" t="s">
        <v>3568</v>
      </c>
    </row>
    <row r="2734" spans="1:7" x14ac:dyDescent="0.2">
      <c r="A2734" s="944">
        <v>39155920800</v>
      </c>
      <c r="B2734" s="239" t="s">
        <v>2740</v>
      </c>
      <c r="C2734" s="286" t="s">
        <v>4330</v>
      </c>
      <c r="D2734" s="865" t="s">
        <v>4330</v>
      </c>
      <c r="E2734" s="287" t="s">
        <v>3557</v>
      </c>
      <c r="F2734" s="287" t="s">
        <v>3559</v>
      </c>
      <c r="G2734" s="288" t="s">
        <v>3553</v>
      </c>
    </row>
    <row r="2735" spans="1:7" x14ac:dyDescent="0.2">
      <c r="A2735" s="944">
        <v>39155920900</v>
      </c>
      <c r="B2735" s="239" t="s">
        <v>2741</v>
      </c>
      <c r="C2735" s="286" t="s">
        <v>4330</v>
      </c>
      <c r="D2735" s="865" t="s">
        <v>4330</v>
      </c>
      <c r="E2735" s="287" t="s">
        <v>3557</v>
      </c>
      <c r="F2735" s="287" t="s">
        <v>3565</v>
      </c>
      <c r="G2735" s="288" t="s">
        <v>3569</v>
      </c>
    </row>
    <row r="2736" spans="1:7" x14ac:dyDescent="0.2">
      <c r="A2736" s="944">
        <v>39155921000</v>
      </c>
      <c r="B2736" s="239" t="s">
        <v>2742</v>
      </c>
      <c r="C2736" s="286" t="s">
        <v>2975</v>
      </c>
      <c r="D2736" s="865" t="s">
        <v>2975</v>
      </c>
      <c r="E2736" s="287" t="s">
        <v>3557</v>
      </c>
      <c r="F2736" s="287" t="s">
        <v>5176</v>
      </c>
      <c r="G2736" s="288" t="s">
        <v>3569</v>
      </c>
    </row>
    <row r="2737" spans="1:7" x14ac:dyDescent="0.2">
      <c r="A2737" s="944">
        <v>39155921100</v>
      </c>
      <c r="B2737" s="239" t="s">
        <v>2743</v>
      </c>
      <c r="C2737" s="286" t="s">
        <v>4330</v>
      </c>
      <c r="D2737" s="865" t="s">
        <v>4330</v>
      </c>
      <c r="E2737" s="287" t="s">
        <v>3566</v>
      </c>
      <c r="F2737" s="287" t="s">
        <v>5176</v>
      </c>
      <c r="G2737" s="288" t="s">
        <v>3553</v>
      </c>
    </row>
    <row r="2738" spans="1:7" x14ac:dyDescent="0.2">
      <c r="A2738" s="944">
        <v>39155921200</v>
      </c>
      <c r="B2738" s="239" t="s">
        <v>2744</v>
      </c>
      <c r="C2738" s="286" t="s">
        <v>4330</v>
      </c>
      <c r="D2738" s="865" t="s">
        <v>4330</v>
      </c>
      <c r="E2738" s="287" t="s">
        <v>3557</v>
      </c>
      <c r="F2738" s="287" t="s">
        <v>3559</v>
      </c>
      <c r="G2738" s="288" t="s">
        <v>3569</v>
      </c>
    </row>
    <row r="2739" spans="1:7" x14ac:dyDescent="0.2">
      <c r="A2739" s="944">
        <v>39155921300</v>
      </c>
      <c r="B2739" s="239" t="s">
        <v>2745</v>
      </c>
      <c r="C2739" s="286" t="s">
        <v>2975</v>
      </c>
      <c r="D2739" s="865" t="s">
        <v>2975</v>
      </c>
      <c r="E2739" s="287" t="s">
        <v>3563</v>
      </c>
      <c r="F2739" s="287" t="s">
        <v>5176</v>
      </c>
      <c r="G2739" s="288" t="s">
        <v>3569</v>
      </c>
    </row>
    <row r="2740" spans="1:7" x14ac:dyDescent="0.2">
      <c r="A2740" s="944">
        <v>39155921400</v>
      </c>
      <c r="B2740" s="239" t="s">
        <v>2746</v>
      </c>
      <c r="C2740" s="286" t="s">
        <v>2975</v>
      </c>
      <c r="D2740" s="865" t="s">
        <v>2975</v>
      </c>
      <c r="E2740" s="287" t="s">
        <v>3566</v>
      </c>
      <c r="F2740" s="287" t="s">
        <v>3565</v>
      </c>
      <c r="G2740" s="288" t="s">
        <v>3569</v>
      </c>
    </row>
    <row r="2741" spans="1:7" x14ac:dyDescent="0.2">
      <c r="A2741" s="944">
        <v>39155921500</v>
      </c>
      <c r="B2741" s="239" t="s">
        <v>2747</v>
      </c>
      <c r="C2741" s="286" t="s">
        <v>2975</v>
      </c>
      <c r="D2741" s="865" t="s">
        <v>2975</v>
      </c>
      <c r="E2741" s="287" t="s">
        <v>3566</v>
      </c>
      <c r="F2741" s="287" t="s">
        <v>5176</v>
      </c>
      <c r="G2741" s="288" t="s">
        <v>3569</v>
      </c>
    </row>
    <row r="2742" spans="1:7" x14ac:dyDescent="0.2">
      <c r="A2742" s="944">
        <v>39155921600</v>
      </c>
      <c r="B2742" s="239" t="s">
        <v>2748</v>
      </c>
      <c r="C2742" s="286" t="s">
        <v>4330</v>
      </c>
      <c r="D2742" s="865" t="s">
        <v>4330</v>
      </c>
      <c r="E2742" s="287" t="s">
        <v>3563</v>
      </c>
      <c r="F2742" s="287" t="s">
        <v>3565</v>
      </c>
      <c r="G2742" s="288" t="s">
        <v>3553</v>
      </c>
    </row>
    <row r="2743" spans="1:7" x14ac:dyDescent="0.2">
      <c r="A2743" s="944">
        <v>39155930101</v>
      </c>
      <c r="B2743" s="239" t="s">
        <v>2749</v>
      </c>
      <c r="C2743" s="286" t="s">
        <v>2975</v>
      </c>
      <c r="D2743" s="865" t="s">
        <v>2975</v>
      </c>
      <c r="E2743" s="287" t="s">
        <v>3566</v>
      </c>
      <c r="F2743" s="287" t="s">
        <v>3558</v>
      </c>
      <c r="G2743" s="288" t="s">
        <v>3568</v>
      </c>
    </row>
    <row r="2744" spans="1:7" x14ac:dyDescent="0.2">
      <c r="A2744" s="944">
        <v>39155930102</v>
      </c>
      <c r="B2744" s="239" t="s">
        <v>2750</v>
      </c>
      <c r="C2744" s="286" t="s">
        <v>2975</v>
      </c>
      <c r="D2744" s="865" t="s">
        <v>2975</v>
      </c>
      <c r="E2744" s="287" t="s">
        <v>3566</v>
      </c>
      <c r="F2744" s="287" t="s">
        <v>3558</v>
      </c>
      <c r="G2744" s="288" t="s">
        <v>3568</v>
      </c>
    </row>
    <row r="2745" spans="1:7" x14ac:dyDescent="0.2">
      <c r="A2745" s="944">
        <v>39155930200</v>
      </c>
      <c r="B2745" s="239" t="s">
        <v>2751</v>
      </c>
      <c r="C2745" s="286" t="s">
        <v>2975</v>
      </c>
      <c r="D2745" s="865" t="s">
        <v>2975</v>
      </c>
      <c r="E2745" s="287" t="s">
        <v>3566</v>
      </c>
      <c r="F2745" s="287" t="s">
        <v>5176</v>
      </c>
      <c r="G2745" s="288" t="s">
        <v>3568</v>
      </c>
    </row>
    <row r="2746" spans="1:7" x14ac:dyDescent="0.2">
      <c r="A2746" s="944">
        <v>39155930300</v>
      </c>
      <c r="B2746" s="239" t="s">
        <v>2752</v>
      </c>
      <c r="C2746" s="286" t="s">
        <v>2975</v>
      </c>
      <c r="D2746" s="865" t="s">
        <v>2975</v>
      </c>
      <c r="E2746" s="287" t="s">
        <v>3566</v>
      </c>
      <c r="F2746" s="287" t="s">
        <v>5176</v>
      </c>
      <c r="G2746" s="288" t="s">
        <v>3568</v>
      </c>
    </row>
    <row r="2747" spans="1:7" x14ac:dyDescent="0.2">
      <c r="A2747" s="944">
        <v>39155930400</v>
      </c>
      <c r="B2747" s="239" t="s">
        <v>2753</v>
      </c>
      <c r="C2747" s="286" t="s">
        <v>2975</v>
      </c>
      <c r="D2747" s="865" t="s">
        <v>2975</v>
      </c>
      <c r="E2747" s="287" t="s">
        <v>3566</v>
      </c>
      <c r="F2747" s="287" t="s">
        <v>3559</v>
      </c>
      <c r="G2747" s="288" t="s">
        <v>3568</v>
      </c>
    </row>
    <row r="2748" spans="1:7" x14ac:dyDescent="0.2">
      <c r="A2748" s="944">
        <v>39155930500</v>
      </c>
      <c r="B2748" s="239" t="s">
        <v>2754</v>
      </c>
      <c r="C2748" s="286" t="s">
        <v>2975</v>
      </c>
      <c r="D2748" s="865" t="s">
        <v>2975</v>
      </c>
      <c r="E2748" s="287" t="s">
        <v>3557</v>
      </c>
      <c r="F2748" s="287" t="s">
        <v>3565</v>
      </c>
      <c r="G2748" s="288" t="s">
        <v>3568</v>
      </c>
    </row>
    <row r="2749" spans="1:7" x14ac:dyDescent="0.2">
      <c r="A2749" s="944">
        <v>39155930600</v>
      </c>
      <c r="B2749" s="239" t="s">
        <v>2755</v>
      </c>
      <c r="C2749" s="286" t="s">
        <v>2975</v>
      </c>
      <c r="D2749" s="865" t="s">
        <v>2975</v>
      </c>
      <c r="E2749" s="287" t="s">
        <v>3566</v>
      </c>
      <c r="F2749" s="287" t="s">
        <v>5176</v>
      </c>
      <c r="G2749" s="288" t="s">
        <v>3568</v>
      </c>
    </row>
    <row r="2750" spans="1:7" x14ac:dyDescent="0.2">
      <c r="A2750" s="944">
        <v>39155930700</v>
      </c>
      <c r="B2750" s="239" t="s">
        <v>2756</v>
      </c>
      <c r="C2750" s="286" t="s">
        <v>2975</v>
      </c>
      <c r="D2750" s="865" t="s">
        <v>2975</v>
      </c>
      <c r="E2750" s="287" t="s">
        <v>3563</v>
      </c>
      <c r="F2750" s="287" t="s">
        <v>3559</v>
      </c>
      <c r="G2750" s="288" t="s">
        <v>3568</v>
      </c>
    </row>
    <row r="2751" spans="1:7" x14ac:dyDescent="0.2">
      <c r="A2751" s="944">
        <v>39155930800</v>
      </c>
      <c r="B2751" s="239" t="s">
        <v>2757</v>
      </c>
      <c r="C2751" s="286" t="s">
        <v>2975</v>
      </c>
      <c r="D2751" s="865" t="s">
        <v>2975</v>
      </c>
      <c r="E2751" s="287" t="s">
        <v>3563</v>
      </c>
      <c r="F2751" s="287" t="s">
        <v>3559</v>
      </c>
      <c r="G2751" s="288" t="s">
        <v>3568</v>
      </c>
    </row>
    <row r="2752" spans="1:7" x14ac:dyDescent="0.2">
      <c r="A2752" s="944">
        <v>39155930900</v>
      </c>
      <c r="B2752" s="239" t="s">
        <v>2758</v>
      </c>
      <c r="C2752" s="286" t="s">
        <v>2975</v>
      </c>
      <c r="D2752" s="865" t="s">
        <v>2975</v>
      </c>
      <c r="E2752" s="287" t="s">
        <v>3566</v>
      </c>
      <c r="F2752" s="287" t="s">
        <v>3558</v>
      </c>
      <c r="G2752" s="288" t="s">
        <v>3569</v>
      </c>
    </row>
    <row r="2753" spans="1:7" x14ac:dyDescent="0.2">
      <c r="A2753" s="944">
        <v>39155931000</v>
      </c>
      <c r="B2753" s="239" t="s">
        <v>2759</v>
      </c>
      <c r="C2753" s="286" t="s">
        <v>2975</v>
      </c>
      <c r="D2753" s="865" t="s">
        <v>2975</v>
      </c>
      <c r="E2753" s="287" t="s">
        <v>3562</v>
      </c>
      <c r="F2753" s="287" t="s">
        <v>3558</v>
      </c>
      <c r="G2753" s="288" t="s">
        <v>3568</v>
      </c>
    </row>
    <row r="2754" spans="1:7" x14ac:dyDescent="0.2">
      <c r="A2754" s="944">
        <v>39155931100</v>
      </c>
      <c r="B2754" s="239" t="s">
        <v>2760</v>
      </c>
      <c r="C2754" s="286" t="s">
        <v>2975</v>
      </c>
      <c r="D2754" s="865" t="s">
        <v>2975</v>
      </c>
      <c r="E2754" s="287" t="s">
        <v>3566</v>
      </c>
      <c r="F2754" s="287" t="s">
        <v>5176</v>
      </c>
      <c r="G2754" s="288" t="s">
        <v>3568</v>
      </c>
    </row>
    <row r="2755" spans="1:7" x14ac:dyDescent="0.2">
      <c r="A2755" s="944">
        <v>39155931200</v>
      </c>
      <c r="B2755" s="239" t="s">
        <v>2761</v>
      </c>
      <c r="C2755" s="286" t="s">
        <v>2975</v>
      </c>
      <c r="D2755" s="865" t="s">
        <v>2975</v>
      </c>
      <c r="E2755" s="287" t="s">
        <v>3563</v>
      </c>
      <c r="F2755" s="287" t="s">
        <v>3558</v>
      </c>
      <c r="G2755" s="288" t="s">
        <v>3568</v>
      </c>
    </row>
    <row r="2756" spans="1:7" x14ac:dyDescent="0.2">
      <c r="A2756" s="944">
        <v>39155931300</v>
      </c>
      <c r="B2756" s="239" t="s">
        <v>2762</v>
      </c>
      <c r="C2756" s="286" t="s">
        <v>2975</v>
      </c>
      <c r="D2756" s="865" t="s">
        <v>2975</v>
      </c>
      <c r="E2756" s="287" t="s">
        <v>3566</v>
      </c>
      <c r="F2756" s="287" t="s">
        <v>3558</v>
      </c>
      <c r="G2756" s="288" t="s">
        <v>3568</v>
      </c>
    </row>
    <row r="2757" spans="1:7" x14ac:dyDescent="0.2">
      <c r="A2757" s="944">
        <v>39155931400</v>
      </c>
      <c r="B2757" s="239" t="s">
        <v>2763</v>
      </c>
      <c r="C2757" s="286" t="s">
        <v>4330</v>
      </c>
      <c r="D2757" s="865" t="s">
        <v>4330</v>
      </c>
      <c r="E2757" s="287" t="s">
        <v>3564</v>
      </c>
      <c r="F2757" s="287" t="s">
        <v>3559</v>
      </c>
      <c r="G2757" s="288" t="s">
        <v>3569</v>
      </c>
    </row>
    <row r="2758" spans="1:7" x14ac:dyDescent="0.2">
      <c r="A2758" s="944">
        <v>39155931500</v>
      </c>
      <c r="B2758" s="239" t="s">
        <v>2764</v>
      </c>
      <c r="C2758" s="286" t="s">
        <v>2975</v>
      </c>
      <c r="D2758" s="865" t="s">
        <v>2975</v>
      </c>
      <c r="E2758" s="287" t="s">
        <v>3563</v>
      </c>
      <c r="F2758" s="287" t="s">
        <v>3565</v>
      </c>
      <c r="G2758" s="288" t="s">
        <v>3568</v>
      </c>
    </row>
    <row r="2759" spans="1:7" x14ac:dyDescent="0.2">
      <c r="A2759" s="944">
        <v>39155931601</v>
      </c>
      <c r="B2759" s="239" t="s">
        <v>2765</v>
      </c>
      <c r="C2759" s="286" t="s">
        <v>2975</v>
      </c>
      <c r="D2759" s="865" t="s">
        <v>2975</v>
      </c>
      <c r="E2759" s="287" t="s">
        <v>3564</v>
      </c>
      <c r="F2759" s="287" t="s">
        <v>3565</v>
      </c>
      <c r="G2759" s="288" t="s">
        <v>3569</v>
      </c>
    </row>
    <row r="2760" spans="1:7" x14ac:dyDescent="0.2">
      <c r="A2760" s="944">
        <v>39155931602</v>
      </c>
      <c r="B2760" s="239" t="s">
        <v>2766</v>
      </c>
      <c r="C2760" s="286" t="s">
        <v>2975</v>
      </c>
      <c r="D2760" s="865" t="s">
        <v>2975</v>
      </c>
      <c r="E2760" s="287" t="s">
        <v>3566</v>
      </c>
      <c r="F2760" s="287" t="s">
        <v>3558</v>
      </c>
      <c r="G2760" s="288" t="s">
        <v>3569</v>
      </c>
    </row>
    <row r="2761" spans="1:7" x14ac:dyDescent="0.2">
      <c r="A2761" s="944">
        <v>39155931700</v>
      </c>
      <c r="B2761" s="239" t="s">
        <v>2767</v>
      </c>
      <c r="C2761" s="286" t="s">
        <v>2975</v>
      </c>
      <c r="D2761" s="865" t="s">
        <v>2975</v>
      </c>
      <c r="E2761" s="287" t="s">
        <v>3564</v>
      </c>
      <c r="F2761" s="287" t="s">
        <v>5176</v>
      </c>
      <c r="G2761" s="288" t="s">
        <v>3569</v>
      </c>
    </row>
    <row r="2762" spans="1:7" x14ac:dyDescent="0.2">
      <c r="A2762" s="944">
        <v>39155931900</v>
      </c>
      <c r="B2762" s="239" t="s">
        <v>2768</v>
      </c>
      <c r="C2762" s="286" t="s">
        <v>2975</v>
      </c>
      <c r="D2762" s="865" t="s">
        <v>2975</v>
      </c>
      <c r="E2762" s="287" t="s">
        <v>3564</v>
      </c>
      <c r="F2762" s="287" t="s">
        <v>5176</v>
      </c>
      <c r="G2762" s="288" t="s">
        <v>3569</v>
      </c>
    </row>
    <row r="2763" spans="1:7" x14ac:dyDescent="0.2">
      <c r="A2763" s="944">
        <v>39155932000</v>
      </c>
      <c r="B2763" s="239" t="s">
        <v>2769</v>
      </c>
      <c r="C2763" s="286" t="s">
        <v>2975</v>
      </c>
      <c r="D2763" s="865" t="s">
        <v>2975</v>
      </c>
      <c r="E2763" s="287" t="s">
        <v>3566</v>
      </c>
      <c r="F2763" s="287" t="s">
        <v>5176</v>
      </c>
      <c r="G2763" s="288" t="s">
        <v>3568</v>
      </c>
    </row>
    <row r="2764" spans="1:7" x14ac:dyDescent="0.2">
      <c r="A2764" s="944">
        <v>39155932200</v>
      </c>
      <c r="B2764" s="239" t="s">
        <v>2770</v>
      </c>
      <c r="C2764" s="286" t="s">
        <v>2975</v>
      </c>
      <c r="D2764" s="865" t="s">
        <v>2975</v>
      </c>
      <c r="E2764" s="287" t="s">
        <v>3566</v>
      </c>
      <c r="F2764" s="287" t="s">
        <v>3565</v>
      </c>
      <c r="G2764" s="288" t="s">
        <v>3569</v>
      </c>
    </row>
    <row r="2765" spans="1:7" x14ac:dyDescent="0.2">
      <c r="A2765" s="944">
        <v>39155932300</v>
      </c>
      <c r="B2765" s="239" t="s">
        <v>2771</v>
      </c>
      <c r="C2765" s="286" t="s">
        <v>2975</v>
      </c>
      <c r="D2765" s="865" t="s">
        <v>2975</v>
      </c>
      <c r="E2765" s="287" t="s">
        <v>3566</v>
      </c>
      <c r="F2765" s="287" t="s">
        <v>5176</v>
      </c>
      <c r="G2765" s="288" t="s">
        <v>3569</v>
      </c>
    </row>
    <row r="2766" spans="1:7" x14ac:dyDescent="0.2">
      <c r="A2766" s="944">
        <v>39155932500</v>
      </c>
      <c r="B2766" s="239" t="s">
        <v>2772</v>
      </c>
      <c r="C2766" s="286" t="s">
        <v>2975</v>
      </c>
      <c r="D2766" s="865" t="s">
        <v>2975</v>
      </c>
      <c r="E2766" s="287" t="s">
        <v>3566</v>
      </c>
      <c r="F2766" s="287" t="s">
        <v>3565</v>
      </c>
      <c r="G2766" s="288" t="s">
        <v>3569</v>
      </c>
    </row>
    <row r="2767" spans="1:7" x14ac:dyDescent="0.2">
      <c r="A2767" s="944">
        <v>39155932600</v>
      </c>
      <c r="B2767" s="239" t="s">
        <v>2773</v>
      </c>
      <c r="C2767" s="286" t="s">
        <v>2975</v>
      </c>
      <c r="D2767" s="865" t="s">
        <v>2975</v>
      </c>
      <c r="E2767" s="287" t="s">
        <v>3564</v>
      </c>
      <c r="F2767" s="287" t="s">
        <v>5176</v>
      </c>
      <c r="G2767" s="288" t="s">
        <v>3569</v>
      </c>
    </row>
    <row r="2768" spans="1:7" x14ac:dyDescent="0.2">
      <c r="A2768" s="944">
        <v>39155932701</v>
      </c>
      <c r="B2768" s="239" t="s">
        <v>2774</v>
      </c>
      <c r="C2768" s="286" t="s">
        <v>2975</v>
      </c>
      <c r="D2768" s="865" t="s">
        <v>2975</v>
      </c>
      <c r="E2768" s="287" t="s">
        <v>3564</v>
      </c>
      <c r="F2768" s="287" t="s">
        <v>3559</v>
      </c>
      <c r="G2768" s="288" t="s">
        <v>3569</v>
      </c>
    </row>
    <row r="2769" spans="1:7" x14ac:dyDescent="0.2">
      <c r="A2769" s="944">
        <v>39155932702</v>
      </c>
      <c r="B2769" s="239" t="s">
        <v>2775</v>
      </c>
      <c r="C2769" s="286" t="s">
        <v>2975</v>
      </c>
      <c r="D2769" s="865" t="s">
        <v>2975</v>
      </c>
      <c r="E2769" s="287" t="s">
        <v>3564</v>
      </c>
      <c r="F2769" s="287" t="s">
        <v>3565</v>
      </c>
      <c r="G2769" s="288" t="s">
        <v>3569</v>
      </c>
    </row>
    <row r="2770" spans="1:7" x14ac:dyDescent="0.2">
      <c r="A2770" s="944">
        <v>39155932801</v>
      </c>
      <c r="B2770" s="239" t="s">
        <v>2776</v>
      </c>
      <c r="C2770" s="286" t="s">
        <v>2975</v>
      </c>
      <c r="D2770" s="865" t="s">
        <v>2975</v>
      </c>
      <c r="E2770" s="287" t="s">
        <v>3564</v>
      </c>
      <c r="F2770" s="287" t="s">
        <v>3559</v>
      </c>
      <c r="G2770" s="288" t="s">
        <v>3569</v>
      </c>
    </row>
    <row r="2771" spans="1:7" x14ac:dyDescent="0.2">
      <c r="A2771" s="944">
        <v>39155932802</v>
      </c>
      <c r="B2771" s="239" t="s">
        <v>2777</v>
      </c>
      <c r="C2771" s="286" t="s">
        <v>2975</v>
      </c>
      <c r="D2771" s="865" t="s">
        <v>2975</v>
      </c>
      <c r="E2771" s="287" t="s">
        <v>3557</v>
      </c>
      <c r="F2771" s="287" t="s">
        <v>5176</v>
      </c>
      <c r="G2771" s="288" t="s">
        <v>3569</v>
      </c>
    </row>
    <row r="2772" spans="1:7" x14ac:dyDescent="0.2">
      <c r="A2772" s="944">
        <v>39155932900</v>
      </c>
      <c r="B2772" s="239" t="s">
        <v>2778</v>
      </c>
      <c r="C2772" s="286" t="s">
        <v>2975</v>
      </c>
      <c r="D2772" s="865" t="s">
        <v>2975</v>
      </c>
      <c r="E2772" s="287" t="s">
        <v>3562</v>
      </c>
      <c r="F2772" s="287" t="s">
        <v>5176</v>
      </c>
      <c r="G2772" s="288" t="s">
        <v>3569</v>
      </c>
    </row>
    <row r="2773" spans="1:7" x14ac:dyDescent="0.2">
      <c r="A2773" s="944">
        <v>39155933001</v>
      </c>
      <c r="B2773" s="239" t="s">
        <v>2779</v>
      </c>
      <c r="C2773" s="286" t="s">
        <v>2975</v>
      </c>
      <c r="D2773" s="865" t="s">
        <v>2975</v>
      </c>
      <c r="E2773" s="287" t="s">
        <v>3563</v>
      </c>
      <c r="F2773" s="287" t="s">
        <v>5176</v>
      </c>
      <c r="G2773" s="288" t="s">
        <v>3569</v>
      </c>
    </row>
    <row r="2774" spans="1:7" x14ac:dyDescent="0.2">
      <c r="A2774" s="944">
        <v>39155933002</v>
      </c>
      <c r="B2774" s="239" t="s">
        <v>2780</v>
      </c>
      <c r="C2774" s="286" t="s">
        <v>2975</v>
      </c>
      <c r="D2774" s="865" t="s">
        <v>2975</v>
      </c>
      <c r="E2774" s="287" t="s">
        <v>3563</v>
      </c>
      <c r="F2774" s="287" t="s">
        <v>3558</v>
      </c>
      <c r="G2774" s="288" t="s">
        <v>3569</v>
      </c>
    </row>
    <row r="2775" spans="1:7" x14ac:dyDescent="0.2">
      <c r="A2775" s="944">
        <v>39155933100</v>
      </c>
      <c r="B2775" s="239" t="s">
        <v>2781</v>
      </c>
      <c r="C2775" s="286" t="s">
        <v>2975</v>
      </c>
      <c r="D2775" s="865" t="s">
        <v>2975</v>
      </c>
      <c r="E2775" s="287" t="s">
        <v>3557</v>
      </c>
      <c r="F2775" s="287" t="s">
        <v>5176</v>
      </c>
      <c r="G2775" s="288" t="s">
        <v>3569</v>
      </c>
    </row>
    <row r="2776" spans="1:7" x14ac:dyDescent="0.2">
      <c r="A2776" s="944">
        <v>39155933301</v>
      </c>
      <c r="B2776" s="239" t="s">
        <v>2782</v>
      </c>
      <c r="C2776" s="286" t="s">
        <v>4330</v>
      </c>
      <c r="D2776" s="865" t="s">
        <v>4330</v>
      </c>
      <c r="E2776" s="287" t="s">
        <v>3564</v>
      </c>
      <c r="F2776" s="287" t="s">
        <v>3565</v>
      </c>
      <c r="G2776" s="288" t="s">
        <v>3568</v>
      </c>
    </row>
    <row r="2777" spans="1:7" x14ac:dyDescent="0.2">
      <c r="A2777" s="944">
        <v>39155933302</v>
      </c>
      <c r="B2777" s="239" t="s">
        <v>2783</v>
      </c>
      <c r="C2777" s="286" t="s">
        <v>2975</v>
      </c>
      <c r="D2777" s="865" t="s">
        <v>2975</v>
      </c>
      <c r="E2777" s="287" t="s">
        <v>3566</v>
      </c>
      <c r="F2777" s="287" t="s">
        <v>3565</v>
      </c>
      <c r="G2777" s="288" t="s">
        <v>3569</v>
      </c>
    </row>
    <row r="2778" spans="1:7" x14ac:dyDescent="0.2">
      <c r="A2778" s="944">
        <v>39155933400</v>
      </c>
      <c r="B2778" s="239" t="s">
        <v>2784</v>
      </c>
      <c r="C2778" s="286" t="s">
        <v>2975</v>
      </c>
      <c r="D2778" s="865" t="s">
        <v>2975</v>
      </c>
      <c r="E2778" s="287" t="s">
        <v>3564</v>
      </c>
      <c r="F2778" s="287" t="s">
        <v>3559</v>
      </c>
      <c r="G2778" s="288" t="s">
        <v>3569</v>
      </c>
    </row>
    <row r="2779" spans="1:7" x14ac:dyDescent="0.2">
      <c r="A2779" s="944">
        <v>39155933500</v>
      </c>
      <c r="B2779" s="239" t="s">
        <v>2785</v>
      </c>
      <c r="C2779" s="286" t="s">
        <v>2975</v>
      </c>
      <c r="D2779" s="865" t="s">
        <v>2975</v>
      </c>
      <c r="E2779" s="287" t="s">
        <v>3564</v>
      </c>
      <c r="F2779" s="287" t="s">
        <v>3559</v>
      </c>
      <c r="G2779" s="288" t="s">
        <v>3568</v>
      </c>
    </row>
    <row r="2780" spans="1:7" x14ac:dyDescent="0.2">
      <c r="A2780" s="944">
        <v>39155933600</v>
      </c>
      <c r="B2780" s="239" t="s">
        <v>2786</v>
      </c>
      <c r="C2780" s="286" t="s">
        <v>2975</v>
      </c>
      <c r="D2780" s="865" t="s">
        <v>2975</v>
      </c>
      <c r="E2780" s="287" t="s">
        <v>3557</v>
      </c>
      <c r="F2780" s="287" t="s">
        <v>5176</v>
      </c>
      <c r="G2780" s="288" t="s">
        <v>3569</v>
      </c>
    </row>
    <row r="2781" spans="1:7" x14ac:dyDescent="0.2">
      <c r="A2781" s="944">
        <v>39155933700</v>
      </c>
      <c r="B2781" s="239" t="s">
        <v>2787</v>
      </c>
      <c r="C2781" s="286" t="s">
        <v>2975</v>
      </c>
      <c r="D2781" s="865" t="s">
        <v>2975</v>
      </c>
      <c r="E2781" s="287" t="s">
        <v>3566</v>
      </c>
      <c r="F2781" s="287" t="s">
        <v>5177</v>
      </c>
      <c r="G2781" s="288" t="s">
        <v>3568</v>
      </c>
    </row>
    <row r="2782" spans="1:7" x14ac:dyDescent="0.2">
      <c r="A2782" s="944">
        <v>39155933800</v>
      </c>
      <c r="B2782" s="239" t="s">
        <v>2788</v>
      </c>
      <c r="C2782" s="286" t="s">
        <v>4330</v>
      </c>
      <c r="D2782" s="865" t="s">
        <v>4330</v>
      </c>
      <c r="E2782" s="287" t="s">
        <v>3566</v>
      </c>
      <c r="F2782" s="287" t="s">
        <v>3565</v>
      </c>
      <c r="G2782" s="288" t="s">
        <v>3553</v>
      </c>
    </row>
    <row r="2783" spans="1:7" x14ac:dyDescent="0.2">
      <c r="A2783" s="944">
        <v>39155933900</v>
      </c>
      <c r="B2783" s="239" t="s">
        <v>2789</v>
      </c>
      <c r="C2783" s="286" t="s">
        <v>4330</v>
      </c>
      <c r="D2783" s="865" t="s">
        <v>4330</v>
      </c>
      <c r="E2783" s="287" t="s">
        <v>3557</v>
      </c>
      <c r="F2783" s="287" t="s">
        <v>5176</v>
      </c>
      <c r="G2783" s="288" t="s">
        <v>3569</v>
      </c>
    </row>
    <row r="2784" spans="1:7" x14ac:dyDescent="0.2">
      <c r="A2784" s="944">
        <v>39157020100</v>
      </c>
      <c r="B2784" s="239" t="s">
        <v>2790</v>
      </c>
      <c r="C2784" s="286" t="s">
        <v>2975</v>
      </c>
      <c r="D2784" s="865" t="s">
        <v>2975</v>
      </c>
      <c r="E2784" s="287" t="s">
        <v>3566</v>
      </c>
      <c r="F2784" s="287" t="s">
        <v>3558</v>
      </c>
      <c r="G2784" s="288" t="s">
        <v>3568</v>
      </c>
    </row>
    <row r="2785" spans="1:7" x14ac:dyDescent="0.2">
      <c r="A2785" s="944">
        <v>39157020200</v>
      </c>
      <c r="B2785" s="239" t="s">
        <v>2791</v>
      </c>
      <c r="C2785" s="286" t="s">
        <v>2975</v>
      </c>
      <c r="D2785" s="865" t="s">
        <v>2975</v>
      </c>
      <c r="E2785" s="287" t="s">
        <v>3562</v>
      </c>
      <c r="F2785" s="287" t="s">
        <v>5177</v>
      </c>
      <c r="G2785" s="288" t="s">
        <v>3568</v>
      </c>
    </row>
    <row r="2786" spans="1:7" x14ac:dyDescent="0.2">
      <c r="A2786" s="944">
        <v>39157020300</v>
      </c>
      <c r="B2786" s="239" t="s">
        <v>2792</v>
      </c>
      <c r="C2786" s="286" t="s">
        <v>2975</v>
      </c>
      <c r="D2786" s="865" t="s">
        <v>2975</v>
      </c>
      <c r="E2786" s="287" t="s">
        <v>3566</v>
      </c>
      <c r="F2786" s="287" t="s">
        <v>3558</v>
      </c>
      <c r="G2786" s="288" t="s">
        <v>3568</v>
      </c>
    </row>
    <row r="2787" spans="1:7" x14ac:dyDescent="0.2">
      <c r="A2787" s="944">
        <v>39157020400</v>
      </c>
      <c r="B2787" s="239" t="s">
        <v>2793</v>
      </c>
      <c r="C2787" s="286" t="s">
        <v>2975</v>
      </c>
      <c r="D2787" s="865" t="s">
        <v>2975</v>
      </c>
      <c r="E2787" s="287" t="s">
        <v>3566</v>
      </c>
      <c r="F2787" s="287" t="s">
        <v>3559</v>
      </c>
      <c r="G2787" s="288" t="s">
        <v>3568</v>
      </c>
    </row>
    <row r="2788" spans="1:7" x14ac:dyDescent="0.2">
      <c r="A2788" s="944">
        <v>39157020500</v>
      </c>
      <c r="B2788" s="239" t="s">
        <v>2794</v>
      </c>
      <c r="C2788" s="286" t="s">
        <v>2975</v>
      </c>
      <c r="D2788" s="865" t="s">
        <v>2975</v>
      </c>
      <c r="E2788" s="287" t="s">
        <v>3563</v>
      </c>
      <c r="F2788" s="287" t="s">
        <v>5177</v>
      </c>
      <c r="G2788" s="288" t="s">
        <v>3568</v>
      </c>
    </row>
    <row r="2789" spans="1:7" x14ac:dyDescent="0.2">
      <c r="A2789" s="944">
        <v>39157020600</v>
      </c>
      <c r="B2789" s="239" t="s">
        <v>2795</v>
      </c>
      <c r="C2789" s="286" t="s">
        <v>2975</v>
      </c>
      <c r="D2789" s="865" t="s">
        <v>2975</v>
      </c>
      <c r="E2789" s="287" t="s">
        <v>3562</v>
      </c>
      <c r="F2789" s="287" t="s">
        <v>3559</v>
      </c>
      <c r="G2789" s="288" t="s">
        <v>3568</v>
      </c>
    </row>
    <row r="2790" spans="1:7" x14ac:dyDescent="0.2">
      <c r="A2790" s="944">
        <v>39157020700</v>
      </c>
      <c r="B2790" s="239" t="s">
        <v>2796</v>
      </c>
      <c r="C2790" s="286" t="s">
        <v>2975</v>
      </c>
      <c r="D2790" s="865" t="s">
        <v>2975</v>
      </c>
      <c r="E2790" s="287" t="s">
        <v>3563</v>
      </c>
      <c r="F2790" s="287" t="s">
        <v>5177</v>
      </c>
      <c r="G2790" s="288" t="s">
        <v>3568</v>
      </c>
    </row>
    <row r="2791" spans="1:7" x14ac:dyDescent="0.2">
      <c r="A2791" s="944">
        <v>39157020800</v>
      </c>
      <c r="B2791" s="239" t="s">
        <v>2797</v>
      </c>
      <c r="C2791" s="286" t="s">
        <v>4330</v>
      </c>
      <c r="D2791" s="865" t="s">
        <v>2975</v>
      </c>
      <c r="E2791" s="287" t="s">
        <v>3557</v>
      </c>
      <c r="F2791" s="287" t="s">
        <v>5176</v>
      </c>
      <c r="G2791" s="288" t="s">
        <v>5175</v>
      </c>
    </row>
    <row r="2792" spans="1:7" x14ac:dyDescent="0.2">
      <c r="A2792" s="944">
        <v>39157020900</v>
      </c>
      <c r="B2792" s="239" t="s">
        <v>2798</v>
      </c>
      <c r="C2792" s="286" t="s">
        <v>2975</v>
      </c>
      <c r="D2792" s="865" t="s">
        <v>2975</v>
      </c>
      <c r="E2792" s="287" t="s">
        <v>3563</v>
      </c>
      <c r="F2792" s="287" t="s">
        <v>5177</v>
      </c>
      <c r="G2792" s="288" t="s">
        <v>3568</v>
      </c>
    </row>
    <row r="2793" spans="1:7" x14ac:dyDescent="0.2">
      <c r="A2793" s="944">
        <v>39157021000</v>
      </c>
      <c r="B2793" s="239" t="s">
        <v>2799</v>
      </c>
      <c r="C2793" s="286" t="s">
        <v>2975</v>
      </c>
      <c r="D2793" s="865" t="s">
        <v>2975</v>
      </c>
      <c r="E2793" s="287" t="s">
        <v>3566</v>
      </c>
      <c r="F2793" s="287" t="s">
        <v>3558</v>
      </c>
      <c r="G2793" s="288" t="s">
        <v>3568</v>
      </c>
    </row>
    <row r="2794" spans="1:7" x14ac:dyDescent="0.2">
      <c r="A2794" s="944">
        <v>39157021100</v>
      </c>
      <c r="B2794" s="239" t="s">
        <v>2800</v>
      </c>
      <c r="C2794" s="286" t="s">
        <v>2975</v>
      </c>
      <c r="D2794" s="865" t="s">
        <v>4330</v>
      </c>
      <c r="E2794" s="287" t="s">
        <v>3562</v>
      </c>
      <c r="F2794" s="287" t="s">
        <v>3559</v>
      </c>
      <c r="G2794" s="288" t="s">
        <v>5175</v>
      </c>
    </row>
    <row r="2795" spans="1:7" x14ac:dyDescent="0.2">
      <c r="A2795" s="944">
        <v>39157021200</v>
      </c>
      <c r="B2795" s="239" t="s">
        <v>2801</v>
      </c>
      <c r="C2795" s="286" t="s">
        <v>2975</v>
      </c>
      <c r="D2795" s="865" t="s">
        <v>2975</v>
      </c>
      <c r="E2795" s="287" t="s">
        <v>3564</v>
      </c>
      <c r="F2795" s="287" t="s">
        <v>3558</v>
      </c>
      <c r="G2795" s="288" t="s">
        <v>3568</v>
      </c>
    </row>
    <row r="2796" spans="1:7" x14ac:dyDescent="0.2">
      <c r="A2796" s="944">
        <v>39157021300</v>
      </c>
      <c r="B2796" s="239" t="s">
        <v>2802</v>
      </c>
      <c r="C2796" s="286" t="s">
        <v>2975</v>
      </c>
      <c r="D2796" s="865" t="s">
        <v>2975</v>
      </c>
      <c r="E2796" s="287" t="s">
        <v>3563</v>
      </c>
      <c r="F2796" s="287" t="s">
        <v>3559</v>
      </c>
      <c r="G2796" s="288" t="s">
        <v>3568</v>
      </c>
    </row>
    <row r="2797" spans="1:7" x14ac:dyDescent="0.2">
      <c r="A2797" s="944">
        <v>39157021400</v>
      </c>
      <c r="B2797" s="239" t="s">
        <v>2803</v>
      </c>
      <c r="C2797" s="286" t="s">
        <v>2975</v>
      </c>
      <c r="D2797" s="865" t="s">
        <v>2975</v>
      </c>
      <c r="E2797" s="287" t="s">
        <v>3566</v>
      </c>
      <c r="F2797" s="287" t="s">
        <v>3559</v>
      </c>
      <c r="G2797" s="288" t="s">
        <v>3568</v>
      </c>
    </row>
    <row r="2798" spans="1:7" x14ac:dyDescent="0.2">
      <c r="A2798" s="944">
        <v>39157021500</v>
      </c>
      <c r="B2798" s="239" t="s">
        <v>2804</v>
      </c>
      <c r="C2798" s="286" t="s">
        <v>2975</v>
      </c>
      <c r="D2798" s="865" t="s">
        <v>2975</v>
      </c>
      <c r="E2798" s="287" t="s">
        <v>3562</v>
      </c>
      <c r="F2798" s="287" t="s">
        <v>3558</v>
      </c>
      <c r="G2798" s="288" t="s">
        <v>3568</v>
      </c>
    </row>
    <row r="2799" spans="1:7" x14ac:dyDescent="0.2">
      <c r="A2799" s="944">
        <v>39157021600</v>
      </c>
      <c r="B2799" s="239" t="s">
        <v>2805</v>
      </c>
      <c r="C2799" s="286" t="s">
        <v>2975</v>
      </c>
      <c r="D2799" s="865" t="s">
        <v>2975</v>
      </c>
      <c r="E2799" s="287" t="s">
        <v>3564</v>
      </c>
      <c r="F2799" s="287" t="s">
        <v>3565</v>
      </c>
      <c r="G2799" s="288" t="s">
        <v>3568</v>
      </c>
    </row>
    <row r="2800" spans="1:7" x14ac:dyDescent="0.2">
      <c r="A2800" s="944">
        <v>39157021700</v>
      </c>
      <c r="B2800" s="239" t="s">
        <v>2806</v>
      </c>
      <c r="C2800" s="286" t="s">
        <v>2975</v>
      </c>
      <c r="D2800" s="865" t="s">
        <v>2975</v>
      </c>
      <c r="E2800" s="287" t="s">
        <v>3557</v>
      </c>
      <c r="F2800" s="287" t="s">
        <v>3565</v>
      </c>
      <c r="G2800" s="288" t="s">
        <v>3568</v>
      </c>
    </row>
    <row r="2801" spans="1:7" x14ac:dyDescent="0.2">
      <c r="A2801" s="944">
        <v>39157021800</v>
      </c>
      <c r="B2801" s="239" t="s">
        <v>2807</v>
      </c>
      <c r="C2801" s="286" t="s">
        <v>2975</v>
      </c>
      <c r="D2801" s="865" t="s">
        <v>2975</v>
      </c>
      <c r="E2801" s="287" t="s">
        <v>3566</v>
      </c>
      <c r="F2801" s="287" t="s">
        <v>3558</v>
      </c>
      <c r="G2801" s="288" t="s">
        <v>3568</v>
      </c>
    </row>
    <row r="2802" spans="1:7" x14ac:dyDescent="0.2">
      <c r="A2802" s="944">
        <v>39157021900</v>
      </c>
      <c r="B2802" s="239" t="s">
        <v>2808</v>
      </c>
      <c r="C2802" s="286" t="s">
        <v>2975</v>
      </c>
      <c r="D2802" s="865" t="s">
        <v>2975</v>
      </c>
      <c r="E2802" s="287" t="s">
        <v>3566</v>
      </c>
      <c r="F2802" s="287" t="s">
        <v>3559</v>
      </c>
      <c r="G2802" s="288" t="s">
        <v>3568</v>
      </c>
    </row>
    <row r="2803" spans="1:7" x14ac:dyDescent="0.2">
      <c r="A2803" s="944">
        <v>39157022001</v>
      </c>
      <c r="B2803" s="239" t="s">
        <v>2809</v>
      </c>
      <c r="C2803" s="286" t="s">
        <v>2975</v>
      </c>
      <c r="D2803" s="865" t="s">
        <v>2975</v>
      </c>
      <c r="E2803" s="287" t="s">
        <v>3564</v>
      </c>
      <c r="F2803" s="287" t="s">
        <v>3565</v>
      </c>
      <c r="G2803" s="288" t="s">
        <v>3568</v>
      </c>
    </row>
    <row r="2804" spans="1:7" x14ac:dyDescent="0.2">
      <c r="A2804" s="944">
        <v>39157022002</v>
      </c>
      <c r="B2804" s="239" t="s">
        <v>2810</v>
      </c>
      <c r="C2804" s="286" t="s">
        <v>2975</v>
      </c>
      <c r="D2804" s="865" t="s">
        <v>4330</v>
      </c>
      <c r="E2804" s="287" t="s">
        <v>3557</v>
      </c>
      <c r="F2804" s="287" t="s">
        <v>5177</v>
      </c>
      <c r="G2804" s="288" t="s">
        <v>3568</v>
      </c>
    </row>
    <row r="2805" spans="1:7" x14ac:dyDescent="0.2">
      <c r="A2805" s="944">
        <v>39159050100</v>
      </c>
      <c r="B2805" s="239" t="s">
        <v>2811</v>
      </c>
      <c r="C2805" s="286" t="s">
        <v>2975</v>
      </c>
      <c r="D2805" s="865" t="s">
        <v>2975</v>
      </c>
      <c r="E2805" s="287" t="s">
        <v>3566</v>
      </c>
      <c r="F2805" s="287" t="s">
        <v>5177</v>
      </c>
      <c r="G2805" s="288" t="s">
        <v>3568</v>
      </c>
    </row>
    <row r="2806" spans="1:7" x14ac:dyDescent="0.2">
      <c r="A2806" s="944">
        <v>39159050200</v>
      </c>
      <c r="B2806" s="239" t="s">
        <v>2812</v>
      </c>
      <c r="C2806" s="286" t="s">
        <v>2975</v>
      </c>
      <c r="D2806" s="865" t="s">
        <v>2975</v>
      </c>
      <c r="E2806" s="287" t="s">
        <v>3566</v>
      </c>
      <c r="F2806" s="287" t="s">
        <v>3559</v>
      </c>
      <c r="G2806" s="288" t="s">
        <v>3568</v>
      </c>
    </row>
    <row r="2807" spans="1:7" x14ac:dyDescent="0.2">
      <c r="A2807" s="944">
        <v>39159050301</v>
      </c>
      <c r="B2807" s="239" t="s">
        <v>2813</v>
      </c>
      <c r="C2807" s="286" t="s">
        <v>2975</v>
      </c>
      <c r="D2807" s="865" t="s">
        <v>2975</v>
      </c>
      <c r="E2807" s="287" t="s">
        <v>3562</v>
      </c>
      <c r="F2807" s="287" t="s">
        <v>3565</v>
      </c>
      <c r="G2807" s="288" t="s">
        <v>3568</v>
      </c>
    </row>
    <row r="2808" spans="1:7" x14ac:dyDescent="0.2">
      <c r="A2808" s="944">
        <v>39159050303</v>
      </c>
      <c r="B2808" s="239" t="s">
        <v>2814</v>
      </c>
      <c r="C2808" s="286" t="s">
        <v>2975</v>
      </c>
      <c r="D2808" s="865" t="s">
        <v>2975</v>
      </c>
      <c r="E2808" s="287" t="s">
        <v>3562</v>
      </c>
      <c r="F2808" s="287" t="s">
        <v>5177</v>
      </c>
      <c r="G2808" s="288" t="s">
        <v>3568</v>
      </c>
    </row>
    <row r="2809" spans="1:7" x14ac:dyDescent="0.2">
      <c r="A2809" s="944">
        <v>39159050304</v>
      </c>
      <c r="B2809" s="239" t="s">
        <v>2815</v>
      </c>
      <c r="C2809" s="286" t="s">
        <v>2975</v>
      </c>
      <c r="D2809" s="865" t="s">
        <v>2975</v>
      </c>
      <c r="E2809" s="287" t="s">
        <v>3563</v>
      </c>
      <c r="F2809" s="287" t="s">
        <v>5177</v>
      </c>
      <c r="G2809" s="288" t="s">
        <v>3568</v>
      </c>
    </row>
    <row r="2810" spans="1:7" x14ac:dyDescent="0.2">
      <c r="A2810" s="944">
        <v>39159050400</v>
      </c>
      <c r="B2810" s="239" t="s">
        <v>2816</v>
      </c>
      <c r="C2810" s="286" t="s">
        <v>2975</v>
      </c>
      <c r="D2810" s="865" t="s">
        <v>2975</v>
      </c>
      <c r="E2810" s="287" t="s">
        <v>3562</v>
      </c>
      <c r="F2810" s="287" t="s">
        <v>3558</v>
      </c>
      <c r="G2810" s="288" t="s">
        <v>3568</v>
      </c>
    </row>
    <row r="2811" spans="1:7" x14ac:dyDescent="0.2">
      <c r="A2811" s="944">
        <v>39159050500</v>
      </c>
      <c r="B2811" s="239" t="s">
        <v>2817</v>
      </c>
      <c r="C2811" s="286" t="s">
        <v>2975</v>
      </c>
      <c r="D2811" s="865" t="s">
        <v>4330</v>
      </c>
      <c r="E2811" s="287" t="s">
        <v>3562</v>
      </c>
      <c r="F2811" s="287" t="s">
        <v>5177</v>
      </c>
      <c r="G2811" s="288" t="s">
        <v>3568</v>
      </c>
    </row>
    <row r="2812" spans="1:7" x14ac:dyDescent="0.2">
      <c r="A2812" s="944">
        <v>39159050601</v>
      </c>
      <c r="B2812" s="239" t="s">
        <v>2818</v>
      </c>
      <c r="C2812" s="286" t="s">
        <v>2975</v>
      </c>
      <c r="D2812" s="865" t="s">
        <v>2975</v>
      </c>
      <c r="E2812" s="287" t="s">
        <v>3562</v>
      </c>
      <c r="F2812" s="287" t="s">
        <v>5177</v>
      </c>
      <c r="G2812" s="288" t="s">
        <v>3568</v>
      </c>
    </row>
    <row r="2813" spans="1:7" x14ac:dyDescent="0.2">
      <c r="A2813" s="944">
        <v>39159050602</v>
      </c>
      <c r="B2813" s="239" t="s">
        <v>2819</v>
      </c>
      <c r="C2813" s="286" t="s">
        <v>2975</v>
      </c>
      <c r="D2813" s="865" t="s">
        <v>2975</v>
      </c>
      <c r="E2813" s="287" t="s">
        <v>3562</v>
      </c>
      <c r="F2813" s="287" t="s">
        <v>5177</v>
      </c>
      <c r="G2813" s="288" t="s">
        <v>3568</v>
      </c>
    </row>
    <row r="2814" spans="1:7" x14ac:dyDescent="0.2">
      <c r="A2814" s="944">
        <v>39159050700</v>
      </c>
      <c r="B2814" s="239" t="s">
        <v>2820</v>
      </c>
      <c r="C2814" s="286" t="s">
        <v>2975</v>
      </c>
      <c r="D2814" s="865" t="s">
        <v>2975</v>
      </c>
      <c r="E2814" s="287" t="s">
        <v>3562</v>
      </c>
      <c r="F2814" s="287" t="s">
        <v>5177</v>
      </c>
      <c r="G2814" s="288" t="s">
        <v>3568</v>
      </c>
    </row>
    <row r="2815" spans="1:7" x14ac:dyDescent="0.2">
      <c r="A2815" s="944">
        <v>39161020100</v>
      </c>
      <c r="B2815" s="239" t="s">
        <v>2821</v>
      </c>
      <c r="C2815" s="286" t="s">
        <v>2975</v>
      </c>
      <c r="D2815" s="865" t="s">
        <v>2975</v>
      </c>
      <c r="E2815" s="287" t="s">
        <v>3562</v>
      </c>
      <c r="F2815" s="287" t="s">
        <v>3558</v>
      </c>
      <c r="G2815" s="288" t="s">
        <v>3568</v>
      </c>
    </row>
    <row r="2816" spans="1:7" x14ac:dyDescent="0.2">
      <c r="A2816" s="944">
        <v>39161020200</v>
      </c>
      <c r="B2816" s="239" t="s">
        <v>2822</v>
      </c>
      <c r="C2816" s="286" t="s">
        <v>2975</v>
      </c>
      <c r="D2816" s="865" t="s">
        <v>2975</v>
      </c>
      <c r="E2816" s="287" t="s">
        <v>3563</v>
      </c>
      <c r="F2816" s="287" t="s">
        <v>3558</v>
      </c>
      <c r="G2816" s="288" t="s">
        <v>3568</v>
      </c>
    </row>
    <row r="2817" spans="1:7" x14ac:dyDescent="0.2">
      <c r="A2817" s="944">
        <v>39161020300</v>
      </c>
      <c r="B2817" s="239" t="s">
        <v>2823</v>
      </c>
      <c r="C2817" s="286" t="s">
        <v>2975</v>
      </c>
      <c r="D2817" s="865" t="s">
        <v>2975</v>
      </c>
      <c r="E2817" s="287" t="s">
        <v>3563</v>
      </c>
      <c r="F2817" s="287" t="s">
        <v>3558</v>
      </c>
      <c r="G2817" s="288" t="s">
        <v>3568</v>
      </c>
    </row>
    <row r="2818" spans="1:7" x14ac:dyDescent="0.2">
      <c r="A2818" s="944">
        <v>39161020400</v>
      </c>
      <c r="B2818" s="239" t="s">
        <v>2824</v>
      </c>
      <c r="C2818" s="286" t="s">
        <v>2975</v>
      </c>
      <c r="D2818" s="865" t="s">
        <v>2975</v>
      </c>
      <c r="E2818" s="287" t="s">
        <v>3563</v>
      </c>
      <c r="F2818" s="287" t="s">
        <v>5177</v>
      </c>
      <c r="G2818" s="288" t="s">
        <v>3568</v>
      </c>
    </row>
    <row r="2819" spans="1:7" x14ac:dyDescent="0.2">
      <c r="A2819" s="944">
        <v>39161020500</v>
      </c>
      <c r="B2819" s="239" t="s">
        <v>2825</v>
      </c>
      <c r="C2819" s="286" t="s">
        <v>2975</v>
      </c>
      <c r="D2819" s="865" t="s">
        <v>2975</v>
      </c>
      <c r="E2819" s="287" t="s">
        <v>3563</v>
      </c>
      <c r="F2819" s="287" t="s">
        <v>5176</v>
      </c>
      <c r="G2819" s="288" t="s">
        <v>5175</v>
      </c>
    </row>
    <row r="2820" spans="1:7" x14ac:dyDescent="0.2">
      <c r="A2820" s="944">
        <v>39161020600</v>
      </c>
      <c r="B2820" s="239" t="s">
        <v>2826</v>
      </c>
      <c r="C2820" s="286" t="s">
        <v>4330</v>
      </c>
      <c r="D2820" s="865" t="s">
        <v>4330</v>
      </c>
      <c r="E2820" s="287" t="s">
        <v>3564</v>
      </c>
      <c r="F2820" s="287" t="s">
        <v>5176</v>
      </c>
      <c r="G2820" s="288" t="s">
        <v>3568</v>
      </c>
    </row>
    <row r="2821" spans="1:7" x14ac:dyDescent="0.2">
      <c r="A2821" s="944">
        <v>39161020700</v>
      </c>
      <c r="B2821" s="239" t="s">
        <v>2827</v>
      </c>
      <c r="C2821" s="286" t="s">
        <v>2975</v>
      </c>
      <c r="D2821" s="865" t="s">
        <v>2975</v>
      </c>
      <c r="E2821" s="287" t="s">
        <v>3564</v>
      </c>
      <c r="F2821" s="287" t="s">
        <v>5177</v>
      </c>
      <c r="G2821" s="288" t="s">
        <v>3568</v>
      </c>
    </row>
    <row r="2822" spans="1:7" x14ac:dyDescent="0.2">
      <c r="A2822" s="944">
        <v>39161020800</v>
      </c>
      <c r="B2822" s="239" t="s">
        <v>2828</v>
      </c>
      <c r="C2822" s="286" t="s">
        <v>2975</v>
      </c>
      <c r="D2822" s="865" t="s">
        <v>2975</v>
      </c>
      <c r="E2822" s="287" t="s">
        <v>3563</v>
      </c>
      <c r="F2822" s="287" t="s">
        <v>3558</v>
      </c>
      <c r="G2822" s="288" t="s">
        <v>3568</v>
      </c>
    </row>
    <row r="2823" spans="1:7" x14ac:dyDescent="0.2">
      <c r="A2823" s="944">
        <v>39161020900</v>
      </c>
      <c r="B2823" s="239" t="s">
        <v>2829</v>
      </c>
      <c r="C2823" s="286" t="s">
        <v>2975</v>
      </c>
      <c r="D2823" s="865" t="s">
        <v>2975</v>
      </c>
      <c r="E2823" s="287" t="s">
        <v>3563</v>
      </c>
      <c r="F2823" s="287" t="s">
        <v>3559</v>
      </c>
      <c r="G2823" s="288" t="s">
        <v>3568</v>
      </c>
    </row>
    <row r="2824" spans="1:7" x14ac:dyDescent="0.2">
      <c r="A2824" s="944">
        <v>39163953000</v>
      </c>
      <c r="B2824" s="239" t="s">
        <v>2830</v>
      </c>
      <c r="C2824" s="286" t="s">
        <v>2975</v>
      </c>
      <c r="D2824" s="865" t="s">
        <v>2975</v>
      </c>
      <c r="E2824" s="287" t="s">
        <v>3557</v>
      </c>
      <c r="F2824" s="287" t="s">
        <v>3558</v>
      </c>
      <c r="G2824" s="288" t="s">
        <v>3568</v>
      </c>
    </row>
    <row r="2825" spans="1:7" x14ac:dyDescent="0.2">
      <c r="A2825" s="944">
        <v>39163953100</v>
      </c>
      <c r="B2825" s="239" t="s">
        <v>2831</v>
      </c>
      <c r="C2825" s="286" t="s">
        <v>2975</v>
      </c>
      <c r="D2825" s="865" t="s">
        <v>2975</v>
      </c>
      <c r="E2825" s="287" t="s">
        <v>3557</v>
      </c>
      <c r="F2825" s="287" t="s">
        <v>3558</v>
      </c>
      <c r="G2825" s="288" t="s">
        <v>3568</v>
      </c>
    </row>
    <row r="2826" spans="1:7" x14ac:dyDescent="0.2">
      <c r="A2826" s="944">
        <v>39163953200</v>
      </c>
      <c r="B2826" s="239" t="s">
        <v>2832</v>
      </c>
      <c r="C2826" s="286" t="s">
        <v>2975</v>
      </c>
      <c r="D2826" s="865" t="s">
        <v>2975</v>
      </c>
      <c r="E2826" s="287" t="s">
        <v>3557</v>
      </c>
      <c r="F2826" s="287" t="s">
        <v>5177</v>
      </c>
      <c r="G2826" s="288" t="s">
        <v>3568</v>
      </c>
    </row>
    <row r="2827" spans="1:7" x14ac:dyDescent="0.2">
      <c r="A2827" s="944">
        <v>39165030101</v>
      </c>
      <c r="B2827" s="239" t="s">
        <v>2833</v>
      </c>
      <c r="C2827" s="286" t="s">
        <v>2975</v>
      </c>
      <c r="D2827" s="865" t="s">
        <v>2975</v>
      </c>
      <c r="E2827" s="287" t="s">
        <v>3564</v>
      </c>
      <c r="F2827" s="287" t="s">
        <v>3558</v>
      </c>
      <c r="G2827" s="288" t="s">
        <v>3569</v>
      </c>
    </row>
    <row r="2828" spans="1:7" x14ac:dyDescent="0.2">
      <c r="A2828" s="944">
        <v>39165030102</v>
      </c>
      <c r="B2828" s="239" t="s">
        <v>2834</v>
      </c>
      <c r="C2828" s="286" t="s">
        <v>2975</v>
      </c>
      <c r="D2828" s="865" t="s">
        <v>2975</v>
      </c>
      <c r="E2828" s="287" t="s">
        <v>3564</v>
      </c>
      <c r="F2828" s="287" t="s">
        <v>5177</v>
      </c>
      <c r="G2828" s="288" t="s">
        <v>3569</v>
      </c>
    </row>
    <row r="2829" spans="1:7" x14ac:dyDescent="0.2">
      <c r="A2829" s="944">
        <v>39165030200</v>
      </c>
      <c r="B2829" s="239" t="s">
        <v>2835</v>
      </c>
      <c r="C2829" s="286" t="s">
        <v>2975</v>
      </c>
      <c r="D2829" s="865" t="s">
        <v>2975</v>
      </c>
      <c r="E2829" s="287" t="s">
        <v>3557</v>
      </c>
      <c r="F2829" s="287" t="s">
        <v>5177</v>
      </c>
      <c r="G2829" s="288" t="s">
        <v>3569</v>
      </c>
    </row>
    <row r="2830" spans="1:7" x14ac:dyDescent="0.2">
      <c r="A2830" s="944">
        <v>39165030501</v>
      </c>
      <c r="B2830" s="239" t="s">
        <v>2836</v>
      </c>
      <c r="C2830" s="286" t="s">
        <v>2975</v>
      </c>
      <c r="D2830" s="865" t="s">
        <v>2975</v>
      </c>
      <c r="E2830" s="287" t="s">
        <v>3564</v>
      </c>
      <c r="F2830" s="287" t="s">
        <v>3558</v>
      </c>
      <c r="G2830" s="288" t="s">
        <v>3569</v>
      </c>
    </row>
    <row r="2831" spans="1:7" x14ac:dyDescent="0.2">
      <c r="A2831" s="944">
        <v>39165030503</v>
      </c>
      <c r="B2831" s="239" t="s">
        <v>2837</v>
      </c>
      <c r="C2831" s="286" t="s">
        <v>2975</v>
      </c>
      <c r="D2831" s="865" t="s">
        <v>2975</v>
      </c>
      <c r="E2831" s="287" t="s">
        <v>3562</v>
      </c>
      <c r="F2831" s="287" t="s">
        <v>5177</v>
      </c>
      <c r="G2831" s="288" t="s">
        <v>3569</v>
      </c>
    </row>
    <row r="2832" spans="1:7" x14ac:dyDescent="0.2">
      <c r="A2832" s="944">
        <v>39165030504</v>
      </c>
      <c r="B2832" s="239" t="s">
        <v>2838</v>
      </c>
      <c r="C2832" s="286" t="s">
        <v>2975</v>
      </c>
      <c r="D2832" s="865" t="s">
        <v>2975</v>
      </c>
      <c r="E2832" s="287" t="s">
        <v>3562</v>
      </c>
      <c r="F2832" s="287" t="s">
        <v>5177</v>
      </c>
      <c r="G2832" s="288" t="s">
        <v>3569</v>
      </c>
    </row>
    <row r="2833" spans="1:7" x14ac:dyDescent="0.2">
      <c r="A2833" s="944">
        <v>39165030600</v>
      </c>
      <c r="B2833" s="239" t="s">
        <v>2839</v>
      </c>
      <c r="C2833" s="286" t="s">
        <v>2975</v>
      </c>
      <c r="D2833" s="865" t="s">
        <v>2975</v>
      </c>
      <c r="E2833" s="287" t="s">
        <v>3566</v>
      </c>
      <c r="F2833" s="287" t="s">
        <v>5177</v>
      </c>
      <c r="G2833" s="288" t="s">
        <v>3569</v>
      </c>
    </row>
    <row r="2834" spans="1:7" x14ac:dyDescent="0.2">
      <c r="A2834" s="944">
        <v>39165030700</v>
      </c>
      <c r="B2834" s="239" t="s">
        <v>2840</v>
      </c>
      <c r="C2834" s="286" t="s">
        <v>2975</v>
      </c>
      <c r="D2834" s="865" t="s">
        <v>2975</v>
      </c>
      <c r="E2834" s="287" t="s">
        <v>3562</v>
      </c>
      <c r="F2834" s="287" t="s">
        <v>3558</v>
      </c>
      <c r="G2834" s="288" t="s">
        <v>3568</v>
      </c>
    </row>
    <row r="2835" spans="1:7" x14ac:dyDescent="0.2">
      <c r="A2835" s="944">
        <v>39165030800</v>
      </c>
      <c r="B2835" s="239" t="s">
        <v>2841</v>
      </c>
      <c r="C2835" s="286" t="s">
        <v>2975</v>
      </c>
      <c r="D2835" s="865" t="s">
        <v>2975</v>
      </c>
      <c r="E2835" s="287" t="s">
        <v>3562</v>
      </c>
      <c r="F2835" s="287" t="s">
        <v>5177</v>
      </c>
      <c r="G2835" s="288" t="s">
        <v>3568</v>
      </c>
    </row>
    <row r="2836" spans="1:7" x14ac:dyDescent="0.2">
      <c r="A2836" s="944">
        <v>39165030900</v>
      </c>
      <c r="B2836" s="239" t="s">
        <v>2842</v>
      </c>
      <c r="C2836" s="286" t="s">
        <v>2975</v>
      </c>
      <c r="D2836" s="865" t="s">
        <v>2975</v>
      </c>
      <c r="E2836" s="287" t="s">
        <v>3562</v>
      </c>
      <c r="F2836" s="287" t="s">
        <v>3565</v>
      </c>
      <c r="G2836" s="288" t="s">
        <v>3569</v>
      </c>
    </row>
    <row r="2837" spans="1:7" x14ac:dyDescent="0.2">
      <c r="A2837" s="944">
        <v>39165031000</v>
      </c>
      <c r="B2837" s="239" t="s">
        <v>2843</v>
      </c>
      <c r="C2837" s="286" t="s">
        <v>2975</v>
      </c>
      <c r="D2837" s="865" t="s">
        <v>2975</v>
      </c>
      <c r="E2837" s="287" t="s">
        <v>3566</v>
      </c>
      <c r="F2837" s="287" t="s">
        <v>3558</v>
      </c>
      <c r="G2837" s="288" t="s">
        <v>3569</v>
      </c>
    </row>
    <row r="2838" spans="1:7" x14ac:dyDescent="0.2">
      <c r="A2838" s="944">
        <v>39165031100</v>
      </c>
      <c r="B2838" s="239" t="s">
        <v>2844</v>
      </c>
      <c r="C2838" s="286" t="s">
        <v>2975</v>
      </c>
      <c r="D2838" s="865" t="s">
        <v>2975</v>
      </c>
      <c r="E2838" s="287" t="s">
        <v>3563</v>
      </c>
      <c r="F2838" s="287" t="s">
        <v>3559</v>
      </c>
      <c r="G2838" s="288" t="s">
        <v>3568</v>
      </c>
    </row>
    <row r="2839" spans="1:7" x14ac:dyDescent="0.2">
      <c r="A2839" s="944">
        <v>39165031200</v>
      </c>
      <c r="B2839" s="239" t="s">
        <v>2845</v>
      </c>
      <c r="C2839" s="286" t="s">
        <v>2975</v>
      </c>
      <c r="D2839" s="865" t="s">
        <v>2975</v>
      </c>
      <c r="E2839" s="287" t="s">
        <v>3562</v>
      </c>
      <c r="F2839" s="287" t="s">
        <v>3565</v>
      </c>
      <c r="G2839" s="288" t="s">
        <v>3568</v>
      </c>
    </row>
    <row r="2840" spans="1:7" x14ac:dyDescent="0.2">
      <c r="A2840" s="944">
        <v>39165031300</v>
      </c>
      <c r="B2840" s="239" t="s">
        <v>2846</v>
      </c>
      <c r="C2840" s="286" t="s">
        <v>2975</v>
      </c>
      <c r="D2840" s="865" t="s">
        <v>2975</v>
      </c>
      <c r="E2840" s="287" t="s">
        <v>3563</v>
      </c>
      <c r="F2840" s="287" t="s">
        <v>3558</v>
      </c>
      <c r="G2840" s="288" t="s">
        <v>3569</v>
      </c>
    </row>
    <row r="2841" spans="1:7" x14ac:dyDescent="0.2">
      <c r="A2841" s="944">
        <v>39165031400</v>
      </c>
      <c r="B2841" s="239" t="s">
        <v>2847</v>
      </c>
      <c r="C2841" s="286" t="s">
        <v>2975</v>
      </c>
      <c r="D2841" s="865" t="s">
        <v>4330</v>
      </c>
      <c r="E2841" s="287" t="s">
        <v>3564</v>
      </c>
      <c r="F2841" s="287" t="s">
        <v>3558</v>
      </c>
      <c r="G2841" s="288" t="s">
        <v>3569</v>
      </c>
    </row>
    <row r="2842" spans="1:7" x14ac:dyDescent="0.2">
      <c r="A2842" s="944">
        <v>39165031500</v>
      </c>
      <c r="B2842" s="239" t="s">
        <v>2848</v>
      </c>
      <c r="C2842" s="286" t="s">
        <v>2975</v>
      </c>
      <c r="D2842" s="865" t="s">
        <v>2975</v>
      </c>
      <c r="E2842" s="287" t="s">
        <v>3566</v>
      </c>
      <c r="F2842" s="287" t="s">
        <v>3565</v>
      </c>
      <c r="G2842" s="288" t="s">
        <v>3569</v>
      </c>
    </row>
    <row r="2843" spans="1:7" x14ac:dyDescent="0.2">
      <c r="A2843" s="944">
        <v>39165031600</v>
      </c>
      <c r="B2843" s="239" t="s">
        <v>2849</v>
      </c>
      <c r="C2843" s="286" t="s">
        <v>2975</v>
      </c>
      <c r="D2843" s="865" t="s">
        <v>2975</v>
      </c>
      <c r="E2843" s="287" t="s">
        <v>3562</v>
      </c>
      <c r="F2843" s="287" t="s">
        <v>3558</v>
      </c>
      <c r="G2843" s="288" t="s">
        <v>3568</v>
      </c>
    </row>
    <row r="2844" spans="1:7" x14ac:dyDescent="0.2">
      <c r="A2844" s="944">
        <v>39165031700</v>
      </c>
      <c r="B2844" s="239" t="s">
        <v>2850</v>
      </c>
      <c r="C2844" s="286" t="s">
        <v>2975</v>
      </c>
      <c r="D2844" s="865" t="s">
        <v>2975</v>
      </c>
      <c r="E2844" s="287"/>
      <c r="F2844" s="287" t="s">
        <v>5178</v>
      </c>
      <c r="G2844" s="288" t="s">
        <v>3569</v>
      </c>
    </row>
    <row r="2845" spans="1:7" x14ac:dyDescent="0.2">
      <c r="A2845" s="944">
        <v>39165031902</v>
      </c>
      <c r="B2845" s="239" t="s">
        <v>2851</v>
      </c>
      <c r="C2845" s="286" t="s">
        <v>2975</v>
      </c>
      <c r="D2845" s="865" t="s">
        <v>2975</v>
      </c>
      <c r="E2845" s="287" t="s">
        <v>3562</v>
      </c>
      <c r="F2845" s="287" t="s">
        <v>3558</v>
      </c>
      <c r="G2845" s="288" t="s">
        <v>3569</v>
      </c>
    </row>
    <row r="2846" spans="1:7" x14ac:dyDescent="0.2">
      <c r="A2846" s="944">
        <v>39165031903</v>
      </c>
      <c r="B2846" s="239" t="s">
        <v>2852</v>
      </c>
      <c r="C2846" s="286" t="s">
        <v>2975</v>
      </c>
      <c r="D2846" s="865" t="s">
        <v>2975</v>
      </c>
      <c r="E2846" s="287" t="s">
        <v>3562</v>
      </c>
      <c r="F2846" s="287" t="s">
        <v>5177</v>
      </c>
      <c r="G2846" s="288" t="s">
        <v>3569</v>
      </c>
    </row>
    <row r="2847" spans="1:7" x14ac:dyDescent="0.2">
      <c r="A2847" s="944">
        <v>39165031904</v>
      </c>
      <c r="B2847" s="239" t="s">
        <v>2853</v>
      </c>
      <c r="C2847" s="286" t="s">
        <v>2975</v>
      </c>
      <c r="D2847" s="865" t="s">
        <v>2975</v>
      </c>
      <c r="E2847" s="287" t="s">
        <v>3562</v>
      </c>
      <c r="F2847" s="287" t="s">
        <v>5177</v>
      </c>
      <c r="G2847" s="288" t="s">
        <v>3569</v>
      </c>
    </row>
    <row r="2848" spans="1:7" x14ac:dyDescent="0.2">
      <c r="A2848" s="944">
        <v>39165032003</v>
      </c>
      <c r="B2848" s="239" t="s">
        <v>2854</v>
      </c>
      <c r="C2848" s="286" t="s">
        <v>2975</v>
      </c>
      <c r="D2848" s="865" t="s">
        <v>2975</v>
      </c>
      <c r="E2848" s="287" t="s">
        <v>3562</v>
      </c>
      <c r="F2848" s="287" t="s">
        <v>3558</v>
      </c>
      <c r="G2848" s="288" t="s">
        <v>3569</v>
      </c>
    </row>
    <row r="2849" spans="1:7" x14ac:dyDescent="0.2">
      <c r="A2849" s="944">
        <v>39165032004</v>
      </c>
      <c r="B2849" s="239" t="s">
        <v>2855</v>
      </c>
      <c r="C2849" s="286" t="s">
        <v>2975</v>
      </c>
      <c r="D2849" s="865" t="s">
        <v>2975</v>
      </c>
      <c r="E2849" s="287" t="s">
        <v>3562</v>
      </c>
      <c r="F2849" s="287" t="s">
        <v>3565</v>
      </c>
      <c r="G2849" s="288" t="s">
        <v>3569</v>
      </c>
    </row>
    <row r="2850" spans="1:7" x14ac:dyDescent="0.2">
      <c r="A2850" s="944">
        <v>39165032005</v>
      </c>
      <c r="B2850" s="239" t="s">
        <v>2856</v>
      </c>
      <c r="C2850" s="286" t="s">
        <v>2975</v>
      </c>
      <c r="D2850" s="865" t="s">
        <v>2975</v>
      </c>
      <c r="E2850" s="287" t="s">
        <v>3562</v>
      </c>
      <c r="F2850" s="287" t="s">
        <v>5177</v>
      </c>
      <c r="G2850" s="288" t="s">
        <v>3569</v>
      </c>
    </row>
    <row r="2851" spans="1:7" x14ac:dyDescent="0.2">
      <c r="A2851" s="944">
        <v>39165032006</v>
      </c>
      <c r="B2851" s="239" t="s">
        <v>2857</v>
      </c>
      <c r="C2851" s="286" t="s">
        <v>2975</v>
      </c>
      <c r="D2851" s="865" t="s">
        <v>2975</v>
      </c>
      <c r="E2851" s="287" t="s">
        <v>3562</v>
      </c>
      <c r="F2851" s="287" t="s">
        <v>5177</v>
      </c>
      <c r="G2851" s="288" t="s">
        <v>3569</v>
      </c>
    </row>
    <row r="2852" spans="1:7" x14ac:dyDescent="0.2">
      <c r="A2852" s="944">
        <v>39165032007</v>
      </c>
      <c r="B2852" s="239" t="s">
        <v>2858</v>
      </c>
      <c r="C2852" s="286" t="s">
        <v>2975</v>
      </c>
      <c r="D2852" s="865" t="s">
        <v>2975</v>
      </c>
      <c r="E2852" s="287" t="s">
        <v>3562</v>
      </c>
      <c r="F2852" s="287" t="s">
        <v>3558</v>
      </c>
      <c r="G2852" s="288" t="s">
        <v>3569</v>
      </c>
    </row>
    <row r="2853" spans="1:7" x14ac:dyDescent="0.2">
      <c r="A2853" s="944">
        <v>39165032100</v>
      </c>
      <c r="B2853" s="239" t="s">
        <v>2859</v>
      </c>
      <c r="C2853" s="286" t="s">
        <v>2975</v>
      </c>
      <c r="D2853" s="865" t="s">
        <v>2975</v>
      </c>
      <c r="E2853" s="287" t="s">
        <v>3566</v>
      </c>
      <c r="F2853" s="287" t="s">
        <v>3561</v>
      </c>
      <c r="G2853" s="288" t="s">
        <v>3569</v>
      </c>
    </row>
    <row r="2854" spans="1:7" x14ac:dyDescent="0.2">
      <c r="A2854" s="944">
        <v>39165032201</v>
      </c>
      <c r="B2854" s="239" t="s">
        <v>2860</v>
      </c>
      <c r="C2854" s="286" t="s">
        <v>2975</v>
      </c>
      <c r="D2854" s="865" t="s">
        <v>2975</v>
      </c>
      <c r="E2854" s="287" t="s">
        <v>3563</v>
      </c>
      <c r="F2854" s="287" t="s">
        <v>5177</v>
      </c>
      <c r="G2854" s="288" t="s">
        <v>3569</v>
      </c>
    </row>
    <row r="2855" spans="1:7" x14ac:dyDescent="0.2">
      <c r="A2855" s="944">
        <v>39165032202</v>
      </c>
      <c r="B2855" s="239" t="s">
        <v>2861</v>
      </c>
      <c r="C2855" s="286" t="s">
        <v>2975</v>
      </c>
      <c r="D2855" s="865" t="s">
        <v>2975</v>
      </c>
      <c r="E2855" s="287" t="s">
        <v>3562</v>
      </c>
      <c r="F2855" s="287" t="s">
        <v>5177</v>
      </c>
      <c r="G2855" s="288" t="s">
        <v>3568</v>
      </c>
    </row>
    <row r="2856" spans="1:7" x14ac:dyDescent="0.2">
      <c r="A2856" s="944">
        <v>39165032300</v>
      </c>
      <c r="B2856" s="239" t="s">
        <v>2862</v>
      </c>
      <c r="C2856" s="286" t="s">
        <v>2975</v>
      </c>
      <c r="D2856" s="865" t="s">
        <v>2975</v>
      </c>
      <c r="E2856" s="287" t="s">
        <v>3563</v>
      </c>
      <c r="F2856" s="287" t="s">
        <v>3559</v>
      </c>
      <c r="G2856" s="288" t="s">
        <v>3568</v>
      </c>
    </row>
    <row r="2857" spans="1:7" x14ac:dyDescent="0.2">
      <c r="A2857" s="944">
        <v>39165032400</v>
      </c>
      <c r="B2857" s="239" t="s">
        <v>2863</v>
      </c>
      <c r="C2857" s="286" t="s">
        <v>2975</v>
      </c>
      <c r="D2857" s="865" t="s">
        <v>2975</v>
      </c>
      <c r="E2857" s="287" t="s">
        <v>3563</v>
      </c>
      <c r="F2857" s="287" t="s">
        <v>3559</v>
      </c>
      <c r="G2857" s="288" t="s">
        <v>3568</v>
      </c>
    </row>
    <row r="2858" spans="1:7" x14ac:dyDescent="0.2">
      <c r="A2858" s="944">
        <v>39165032501</v>
      </c>
      <c r="B2858" s="239" t="s">
        <v>2864</v>
      </c>
      <c r="C2858" s="286" t="s">
        <v>2975</v>
      </c>
      <c r="D2858" s="865" t="s">
        <v>2975</v>
      </c>
      <c r="E2858" s="287" t="s">
        <v>3564</v>
      </c>
      <c r="F2858" s="287" t="s">
        <v>5176</v>
      </c>
      <c r="G2858" s="288" t="s">
        <v>3569</v>
      </c>
    </row>
    <row r="2859" spans="1:7" x14ac:dyDescent="0.2">
      <c r="A2859" s="944">
        <v>39165032502</v>
      </c>
      <c r="B2859" s="239" t="s">
        <v>2865</v>
      </c>
      <c r="C2859" s="286" t="s">
        <v>4330</v>
      </c>
      <c r="D2859" s="865" t="s">
        <v>4330</v>
      </c>
      <c r="E2859" s="287" t="s">
        <v>3557</v>
      </c>
      <c r="F2859" s="287" t="s">
        <v>3559</v>
      </c>
      <c r="G2859" s="288" t="s">
        <v>3569</v>
      </c>
    </row>
    <row r="2860" spans="1:7" x14ac:dyDescent="0.2">
      <c r="A2860" s="944">
        <v>39167020101</v>
      </c>
      <c r="B2860" s="239" t="s">
        <v>2866</v>
      </c>
      <c r="C2860" s="286" t="s">
        <v>2975</v>
      </c>
      <c r="D2860" s="865" t="s">
        <v>2975</v>
      </c>
      <c r="E2860" s="287" t="s">
        <v>3566</v>
      </c>
      <c r="F2860" s="287" t="s">
        <v>3559</v>
      </c>
      <c r="G2860" s="288" t="s">
        <v>3569</v>
      </c>
    </row>
    <row r="2861" spans="1:7" x14ac:dyDescent="0.2">
      <c r="A2861" s="944">
        <v>39167020102</v>
      </c>
      <c r="B2861" s="239" t="s">
        <v>2867</v>
      </c>
      <c r="C2861" s="286" t="s">
        <v>2975</v>
      </c>
      <c r="D2861" s="865" t="s">
        <v>4330</v>
      </c>
      <c r="E2861" s="287" t="s">
        <v>3564</v>
      </c>
      <c r="F2861" s="287" t="s">
        <v>5177</v>
      </c>
      <c r="G2861" s="288" t="s">
        <v>3569</v>
      </c>
    </row>
    <row r="2862" spans="1:7" x14ac:dyDescent="0.2">
      <c r="A2862" s="944">
        <v>39167020200</v>
      </c>
      <c r="B2862" s="239" t="s">
        <v>2868</v>
      </c>
      <c r="C2862" s="286" t="s">
        <v>2975</v>
      </c>
      <c r="D2862" s="865" t="s">
        <v>2975</v>
      </c>
      <c r="E2862" s="287" t="s">
        <v>3566</v>
      </c>
      <c r="F2862" s="287" t="s">
        <v>5177</v>
      </c>
      <c r="G2862" s="288" t="s">
        <v>3568</v>
      </c>
    </row>
    <row r="2863" spans="1:7" x14ac:dyDescent="0.2">
      <c r="A2863" s="944">
        <v>39167020300</v>
      </c>
      <c r="B2863" s="239" t="s">
        <v>2869</v>
      </c>
      <c r="C2863" s="286" t="s">
        <v>2975</v>
      </c>
      <c r="D2863" s="865" t="s">
        <v>2975</v>
      </c>
      <c r="E2863" s="287" t="s">
        <v>3564</v>
      </c>
      <c r="F2863" s="287" t="s">
        <v>3559</v>
      </c>
      <c r="G2863" s="288" t="s">
        <v>3568</v>
      </c>
    </row>
    <row r="2864" spans="1:7" x14ac:dyDescent="0.2">
      <c r="A2864" s="944">
        <v>39167020400</v>
      </c>
      <c r="B2864" s="239" t="s">
        <v>2870</v>
      </c>
      <c r="C2864" s="286" t="s">
        <v>2975</v>
      </c>
      <c r="D2864" s="865" t="s">
        <v>2975</v>
      </c>
      <c r="E2864" s="287" t="s">
        <v>3566</v>
      </c>
      <c r="F2864" s="287" t="s">
        <v>3565</v>
      </c>
      <c r="G2864" s="288" t="s">
        <v>3568</v>
      </c>
    </row>
    <row r="2865" spans="1:7" x14ac:dyDescent="0.2">
      <c r="A2865" s="944">
        <v>39167020500</v>
      </c>
      <c r="B2865" s="239" t="s">
        <v>2871</v>
      </c>
      <c r="C2865" s="286" t="s">
        <v>4330</v>
      </c>
      <c r="D2865" s="865" t="s">
        <v>4330</v>
      </c>
      <c r="E2865" s="287" t="s">
        <v>3564</v>
      </c>
      <c r="F2865" s="287" t="s">
        <v>3558</v>
      </c>
      <c r="G2865" s="288" t="s">
        <v>5175</v>
      </c>
    </row>
    <row r="2866" spans="1:7" x14ac:dyDescent="0.2">
      <c r="A2866" s="944">
        <v>39167020800</v>
      </c>
      <c r="B2866" s="239" t="s">
        <v>2872</v>
      </c>
      <c r="C2866" s="286" t="s">
        <v>2975</v>
      </c>
      <c r="D2866" s="865" t="s">
        <v>2975</v>
      </c>
      <c r="E2866" s="287" t="s">
        <v>3563</v>
      </c>
      <c r="F2866" s="287" t="s">
        <v>3559</v>
      </c>
      <c r="G2866" s="288" t="s">
        <v>5175</v>
      </c>
    </row>
    <row r="2867" spans="1:7" x14ac:dyDescent="0.2">
      <c r="A2867" s="944">
        <v>39167020900</v>
      </c>
      <c r="B2867" s="239" t="s">
        <v>2873</v>
      </c>
      <c r="C2867" s="286" t="s">
        <v>4330</v>
      </c>
      <c r="D2867" s="865" t="s">
        <v>4330</v>
      </c>
      <c r="E2867" s="287" t="s">
        <v>3566</v>
      </c>
      <c r="F2867" s="287" t="s">
        <v>3565</v>
      </c>
      <c r="G2867" s="288" t="s">
        <v>3568</v>
      </c>
    </row>
    <row r="2868" spans="1:7" x14ac:dyDescent="0.2">
      <c r="A2868" s="944">
        <v>39167021000</v>
      </c>
      <c r="B2868" s="239" t="s">
        <v>2874</v>
      </c>
      <c r="C2868" s="286" t="s">
        <v>4330</v>
      </c>
      <c r="D2868" s="865" t="s">
        <v>4330</v>
      </c>
      <c r="E2868" s="287" t="s">
        <v>3564</v>
      </c>
      <c r="F2868" s="287" t="s">
        <v>3565</v>
      </c>
      <c r="G2868" s="288" t="s">
        <v>3568</v>
      </c>
    </row>
    <row r="2869" spans="1:7" x14ac:dyDescent="0.2">
      <c r="A2869" s="944">
        <v>39167021100</v>
      </c>
      <c r="B2869" s="239" t="s">
        <v>2875</v>
      </c>
      <c r="C2869" s="286" t="s">
        <v>2975</v>
      </c>
      <c r="D2869" s="865" t="s">
        <v>2975</v>
      </c>
      <c r="E2869" s="287" t="s">
        <v>3566</v>
      </c>
      <c r="F2869" s="287" t="s">
        <v>3558</v>
      </c>
      <c r="G2869" s="288" t="s">
        <v>3568</v>
      </c>
    </row>
    <row r="2870" spans="1:7" x14ac:dyDescent="0.2">
      <c r="A2870" s="944">
        <v>39167021200</v>
      </c>
      <c r="B2870" s="239" t="s">
        <v>2876</v>
      </c>
      <c r="C2870" s="286" t="s">
        <v>2975</v>
      </c>
      <c r="D2870" s="865" t="s">
        <v>2975</v>
      </c>
      <c r="E2870" s="287" t="s">
        <v>3557</v>
      </c>
      <c r="F2870" s="287" t="s">
        <v>3565</v>
      </c>
      <c r="G2870" s="288" t="s">
        <v>3568</v>
      </c>
    </row>
    <row r="2871" spans="1:7" x14ac:dyDescent="0.2">
      <c r="A2871" s="944">
        <v>39167021300</v>
      </c>
      <c r="B2871" s="239" t="s">
        <v>2877</v>
      </c>
      <c r="C2871" s="286" t="s">
        <v>2975</v>
      </c>
      <c r="D2871" s="865" t="s">
        <v>2975</v>
      </c>
      <c r="E2871" s="287" t="s">
        <v>3564</v>
      </c>
      <c r="F2871" s="287" t="s">
        <v>5176</v>
      </c>
      <c r="G2871" s="288" t="s">
        <v>3568</v>
      </c>
    </row>
    <row r="2872" spans="1:7" x14ac:dyDescent="0.2">
      <c r="A2872" s="944">
        <v>39167021400</v>
      </c>
      <c r="B2872" s="239" t="s">
        <v>2878</v>
      </c>
      <c r="C2872" s="286" t="s">
        <v>2975</v>
      </c>
      <c r="D2872" s="865" t="s">
        <v>2975</v>
      </c>
      <c r="E2872" s="287" t="s">
        <v>3562</v>
      </c>
      <c r="F2872" s="287" t="s">
        <v>3565</v>
      </c>
      <c r="G2872" s="288" t="s">
        <v>3568</v>
      </c>
    </row>
    <row r="2873" spans="1:7" x14ac:dyDescent="0.2">
      <c r="A2873" s="944">
        <v>39167021500</v>
      </c>
      <c r="B2873" s="239" t="s">
        <v>2879</v>
      </c>
      <c r="C2873" s="286" t="s">
        <v>2975</v>
      </c>
      <c r="D2873" s="865" t="s">
        <v>2975</v>
      </c>
      <c r="E2873" s="287" t="s">
        <v>3563</v>
      </c>
      <c r="F2873" s="287" t="s">
        <v>3558</v>
      </c>
      <c r="G2873" s="288" t="s">
        <v>3568</v>
      </c>
    </row>
    <row r="2874" spans="1:7" x14ac:dyDescent="0.2">
      <c r="A2874" s="944">
        <v>39167021600</v>
      </c>
      <c r="B2874" s="239" t="s">
        <v>2880</v>
      </c>
      <c r="C2874" s="286" t="s">
        <v>2975</v>
      </c>
      <c r="D2874" s="865" t="s">
        <v>2975</v>
      </c>
      <c r="E2874" s="287" t="s">
        <v>3564</v>
      </c>
      <c r="F2874" s="287" t="s">
        <v>3558</v>
      </c>
      <c r="G2874" s="288" t="s">
        <v>3568</v>
      </c>
    </row>
    <row r="2875" spans="1:7" x14ac:dyDescent="0.2">
      <c r="A2875" s="944">
        <v>39167021700</v>
      </c>
      <c r="B2875" s="239" t="s">
        <v>2881</v>
      </c>
      <c r="C2875" s="286" t="s">
        <v>2975</v>
      </c>
      <c r="D2875" s="865" t="s">
        <v>2975</v>
      </c>
      <c r="E2875" s="287" t="s">
        <v>3564</v>
      </c>
      <c r="F2875" s="287" t="s">
        <v>3558</v>
      </c>
      <c r="G2875" s="288" t="s">
        <v>3568</v>
      </c>
    </row>
    <row r="2876" spans="1:7" x14ac:dyDescent="0.2">
      <c r="A2876" s="944">
        <v>39169000100</v>
      </c>
      <c r="B2876" s="239" t="s">
        <v>2882</v>
      </c>
      <c r="C2876" s="286" t="s">
        <v>4330</v>
      </c>
      <c r="D2876" s="865" t="s">
        <v>4330</v>
      </c>
      <c r="E2876" s="287" t="s">
        <v>3564</v>
      </c>
      <c r="F2876" s="287" t="s">
        <v>3558</v>
      </c>
      <c r="G2876" s="288" t="s">
        <v>5175</v>
      </c>
    </row>
    <row r="2877" spans="1:7" x14ac:dyDescent="0.2">
      <c r="A2877" s="944">
        <v>39169000200</v>
      </c>
      <c r="B2877" s="239" t="s">
        <v>2883</v>
      </c>
      <c r="C2877" s="286" t="s">
        <v>2975</v>
      </c>
      <c r="D2877" s="865" t="s">
        <v>2975</v>
      </c>
      <c r="E2877" s="287" t="s">
        <v>3562</v>
      </c>
      <c r="F2877" s="287" t="s">
        <v>5176</v>
      </c>
      <c r="G2877" s="288" t="s">
        <v>5175</v>
      </c>
    </row>
    <row r="2878" spans="1:7" x14ac:dyDescent="0.2">
      <c r="A2878" s="944">
        <v>39169000300</v>
      </c>
      <c r="B2878" s="239" t="s">
        <v>2884</v>
      </c>
      <c r="C2878" s="286" t="s">
        <v>2975</v>
      </c>
      <c r="D2878" s="865" t="s">
        <v>2975</v>
      </c>
      <c r="E2878" s="287" t="s">
        <v>3562</v>
      </c>
      <c r="F2878" s="287" t="s">
        <v>3559</v>
      </c>
      <c r="G2878" s="288" t="s">
        <v>3568</v>
      </c>
    </row>
    <row r="2879" spans="1:7" x14ac:dyDescent="0.2">
      <c r="A2879" s="944">
        <v>39169000500</v>
      </c>
      <c r="B2879" s="239" t="s">
        <v>2885</v>
      </c>
      <c r="C2879" s="286" t="s">
        <v>4330</v>
      </c>
      <c r="D2879" s="865" t="s">
        <v>4330</v>
      </c>
      <c r="E2879" s="287" t="s">
        <v>3557</v>
      </c>
      <c r="F2879" s="287" t="s">
        <v>3565</v>
      </c>
      <c r="G2879" s="288" t="s">
        <v>3568</v>
      </c>
    </row>
    <row r="2880" spans="1:7" x14ac:dyDescent="0.2">
      <c r="A2880" s="944">
        <v>39169000600</v>
      </c>
      <c r="B2880" s="239" t="s">
        <v>2886</v>
      </c>
      <c r="C2880" s="286" t="s">
        <v>2975</v>
      </c>
      <c r="D2880" s="865" t="s">
        <v>2975</v>
      </c>
      <c r="E2880" s="287" t="s">
        <v>3563</v>
      </c>
      <c r="F2880" s="287" t="s">
        <v>5177</v>
      </c>
      <c r="G2880" s="288" t="s">
        <v>3568</v>
      </c>
    </row>
    <row r="2881" spans="1:7" x14ac:dyDescent="0.2">
      <c r="A2881" s="944">
        <v>39169000700</v>
      </c>
      <c r="B2881" s="239" t="s">
        <v>2887</v>
      </c>
      <c r="C2881" s="286" t="s">
        <v>2975</v>
      </c>
      <c r="D2881" s="865" t="s">
        <v>2975</v>
      </c>
      <c r="E2881" s="287" t="s">
        <v>3562</v>
      </c>
      <c r="F2881" s="287" t="s">
        <v>3558</v>
      </c>
      <c r="G2881" s="288" t="s">
        <v>3568</v>
      </c>
    </row>
    <row r="2882" spans="1:7" x14ac:dyDescent="0.2">
      <c r="A2882" s="944">
        <v>39169000800</v>
      </c>
      <c r="B2882" s="239" t="s">
        <v>2888</v>
      </c>
      <c r="C2882" s="286" t="s">
        <v>2975</v>
      </c>
      <c r="D2882" s="865" t="s">
        <v>2975</v>
      </c>
      <c r="E2882" s="287" t="s">
        <v>3562</v>
      </c>
      <c r="F2882" s="287" t="s">
        <v>3558</v>
      </c>
      <c r="G2882" s="288" t="s">
        <v>3568</v>
      </c>
    </row>
    <row r="2883" spans="1:7" x14ac:dyDescent="0.2">
      <c r="A2883" s="944">
        <v>39169000900</v>
      </c>
      <c r="B2883" s="239" t="s">
        <v>2889</v>
      </c>
      <c r="C2883" s="286" t="s">
        <v>2975</v>
      </c>
      <c r="D2883" s="865" t="s">
        <v>2975</v>
      </c>
      <c r="E2883" s="287" t="s">
        <v>3563</v>
      </c>
      <c r="F2883" s="287" t="s">
        <v>3559</v>
      </c>
      <c r="G2883" s="288" t="s">
        <v>3568</v>
      </c>
    </row>
    <row r="2884" spans="1:7" x14ac:dyDescent="0.2">
      <c r="A2884" s="944">
        <v>39169001000</v>
      </c>
      <c r="B2884" s="239" t="s">
        <v>2890</v>
      </c>
      <c r="C2884" s="286" t="s">
        <v>2975</v>
      </c>
      <c r="D2884" s="865" t="s">
        <v>2975</v>
      </c>
      <c r="E2884" s="287" t="s">
        <v>3563</v>
      </c>
      <c r="F2884" s="287" t="s">
        <v>5176</v>
      </c>
      <c r="G2884" s="288" t="s">
        <v>3568</v>
      </c>
    </row>
    <row r="2885" spans="1:7" x14ac:dyDescent="0.2">
      <c r="A2885" s="944">
        <v>39169001100</v>
      </c>
      <c r="B2885" s="239" t="s">
        <v>2891</v>
      </c>
      <c r="C2885" s="286" t="s">
        <v>2975</v>
      </c>
      <c r="D2885" s="865" t="s">
        <v>2975</v>
      </c>
      <c r="E2885" s="287" t="s">
        <v>3562</v>
      </c>
      <c r="F2885" s="287" t="s">
        <v>3559</v>
      </c>
      <c r="G2885" s="288" t="s">
        <v>3568</v>
      </c>
    </row>
    <row r="2886" spans="1:7" x14ac:dyDescent="0.2">
      <c r="A2886" s="944">
        <v>39169001200</v>
      </c>
      <c r="B2886" s="239" t="s">
        <v>2892</v>
      </c>
      <c r="C2886" s="286" t="s">
        <v>4330</v>
      </c>
      <c r="D2886" s="865" t="s">
        <v>2975</v>
      </c>
      <c r="E2886" s="287" t="s">
        <v>3566</v>
      </c>
      <c r="F2886" s="287" t="s">
        <v>5177</v>
      </c>
      <c r="G2886" s="288" t="s">
        <v>5175</v>
      </c>
    </row>
    <row r="2887" spans="1:7" x14ac:dyDescent="0.2">
      <c r="A2887" s="944">
        <v>39169001300</v>
      </c>
      <c r="B2887" s="239" t="s">
        <v>2893</v>
      </c>
      <c r="C2887" s="286" t="s">
        <v>2975</v>
      </c>
      <c r="D2887" s="865" t="s">
        <v>2975</v>
      </c>
      <c r="E2887" s="287" t="s">
        <v>3563</v>
      </c>
      <c r="F2887" s="287" t="s">
        <v>5177</v>
      </c>
      <c r="G2887" s="288" t="s">
        <v>3568</v>
      </c>
    </row>
    <row r="2888" spans="1:7" x14ac:dyDescent="0.2">
      <c r="A2888" s="944">
        <v>39169001400</v>
      </c>
      <c r="B2888" s="239" t="s">
        <v>2894</v>
      </c>
      <c r="C2888" s="286" t="s">
        <v>2975</v>
      </c>
      <c r="D2888" s="865" t="s">
        <v>2975</v>
      </c>
      <c r="E2888" s="287" t="s">
        <v>3566</v>
      </c>
      <c r="F2888" s="287" t="s">
        <v>5177</v>
      </c>
      <c r="G2888" s="288" t="s">
        <v>3568</v>
      </c>
    </row>
    <row r="2889" spans="1:7" x14ac:dyDescent="0.2">
      <c r="A2889" s="944">
        <v>39169001700</v>
      </c>
      <c r="B2889" s="239" t="s">
        <v>2895</v>
      </c>
      <c r="C2889" s="286" t="s">
        <v>2975</v>
      </c>
      <c r="D2889" s="865" t="s">
        <v>2975</v>
      </c>
      <c r="E2889" s="287" t="s">
        <v>3564</v>
      </c>
      <c r="F2889" s="287" t="s">
        <v>3559</v>
      </c>
      <c r="G2889" s="288" t="s">
        <v>3568</v>
      </c>
    </row>
    <row r="2890" spans="1:7" x14ac:dyDescent="0.2">
      <c r="A2890" s="944">
        <v>39169001800</v>
      </c>
      <c r="B2890" s="239" t="s">
        <v>2896</v>
      </c>
      <c r="C2890" s="286" t="s">
        <v>2975</v>
      </c>
      <c r="D2890" s="865" t="s">
        <v>2975</v>
      </c>
      <c r="E2890" s="287" t="s">
        <v>3566</v>
      </c>
      <c r="F2890" s="287" t="s">
        <v>3558</v>
      </c>
      <c r="G2890" s="288" t="s">
        <v>3568</v>
      </c>
    </row>
    <row r="2891" spans="1:7" x14ac:dyDescent="0.2">
      <c r="A2891" s="944">
        <v>39169001900</v>
      </c>
      <c r="B2891" s="239" t="s">
        <v>2897</v>
      </c>
      <c r="C2891" s="286" t="s">
        <v>2975</v>
      </c>
      <c r="D2891" s="865" t="s">
        <v>2975</v>
      </c>
      <c r="E2891" s="287" t="s">
        <v>3564</v>
      </c>
      <c r="F2891" s="287" t="s">
        <v>5176</v>
      </c>
      <c r="G2891" s="288" t="s">
        <v>3568</v>
      </c>
    </row>
    <row r="2892" spans="1:7" x14ac:dyDescent="0.2">
      <c r="A2892" s="944">
        <v>39169002000</v>
      </c>
      <c r="B2892" s="239" t="s">
        <v>2898</v>
      </c>
      <c r="C2892" s="286" t="s">
        <v>2975</v>
      </c>
      <c r="D2892" s="865" t="s">
        <v>2975</v>
      </c>
      <c r="E2892" s="287" t="s">
        <v>3563</v>
      </c>
      <c r="F2892" s="287" t="s">
        <v>5176</v>
      </c>
      <c r="G2892" s="288" t="s">
        <v>3568</v>
      </c>
    </row>
    <row r="2893" spans="1:7" x14ac:dyDescent="0.2">
      <c r="A2893" s="944">
        <v>39169002100</v>
      </c>
      <c r="B2893" s="239" t="s">
        <v>2899</v>
      </c>
      <c r="C2893" s="286" t="s">
        <v>2975</v>
      </c>
      <c r="D2893" s="865" t="s">
        <v>2975</v>
      </c>
      <c r="E2893" s="287" t="s">
        <v>3566</v>
      </c>
      <c r="F2893" s="287" t="s">
        <v>3565</v>
      </c>
      <c r="G2893" s="288" t="s">
        <v>3568</v>
      </c>
    </row>
    <row r="2894" spans="1:7" x14ac:dyDescent="0.2">
      <c r="A2894" s="944">
        <v>39169002200</v>
      </c>
      <c r="B2894" s="239" t="s">
        <v>2900</v>
      </c>
      <c r="C2894" s="286" t="s">
        <v>2975</v>
      </c>
      <c r="D2894" s="865" t="s">
        <v>2975</v>
      </c>
      <c r="E2894" s="287" t="s">
        <v>3564</v>
      </c>
      <c r="F2894" s="287" t="s">
        <v>3565</v>
      </c>
      <c r="G2894" s="288" t="s">
        <v>3568</v>
      </c>
    </row>
    <row r="2895" spans="1:7" x14ac:dyDescent="0.2">
      <c r="A2895" s="944">
        <v>39169002300</v>
      </c>
      <c r="B2895" s="239" t="s">
        <v>2901</v>
      </c>
      <c r="C2895" s="286" t="s">
        <v>2975</v>
      </c>
      <c r="D2895" s="865" t="s">
        <v>2975</v>
      </c>
      <c r="E2895" s="287" t="s">
        <v>3563</v>
      </c>
      <c r="F2895" s="287" t="s">
        <v>3565</v>
      </c>
      <c r="G2895" s="288" t="s">
        <v>3568</v>
      </c>
    </row>
    <row r="2896" spans="1:7" x14ac:dyDescent="0.2">
      <c r="A2896" s="944">
        <v>39169002400</v>
      </c>
      <c r="B2896" s="239" t="s">
        <v>2902</v>
      </c>
      <c r="C2896" s="286" t="s">
        <v>2975</v>
      </c>
      <c r="D2896" s="865" t="s">
        <v>2975</v>
      </c>
      <c r="E2896" s="287" t="s">
        <v>3566</v>
      </c>
      <c r="F2896" s="287" t="s">
        <v>5177</v>
      </c>
      <c r="G2896" s="288" t="s">
        <v>3568</v>
      </c>
    </row>
    <row r="2897" spans="1:7" x14ac:dyDescent="0.2">
      <c r="A2897" s="944">
        <v>39169002500</v>
      </c>
      <c r="B2897" s="239" t="s">
        <v>2903</v>
      </c>
      <c r="C2897" s="286" t="s">
        <v>2975</v>
      </c>
      <c r="D2897" s="865" t="s">
        <v>2975</v>
      </c>
      <c r="E2897" s="287" t="s">
        <v>3562</v>
      </c>
      <c r="F2897" s="287" t="s">
        <v>3558</v>
      </c>
      <c r="G2897" s="288" t="s">
        <v>3568</v>
      </c>
    </row>
    <row r="2898" spans="1:7" x14ac:dyDescent="0.2">
      <c r="A2898" s="944">
        <v>39169002901</v>
      </c>
      <c r="B2898" s="239" t="s">
        <v>2904</v>
      </c>
      <c r="C2898" s="286" t="s">
        <v>2975</v>
      </c>
      <c r="D2898" s="865" t="s">
        <v>2975</v>
      </c>
      <c r="E2898" s="287" t="s">
        <v>3566</v>
      </c>
      <c r="F2898" s="287" t="s">
        <v>5177</v>
      </c>
      <c r="G2898" s="288" t="s">
        <v>3569</v>
      </c>
    </row>
    <row r="2899" spans="1:7" x14ac:dyDescent="0.2">
      <c r="A2899" s="944">
        <v>39169002902</v>
      </c>
      <c r="B2899" s="239" t="s">
        <v>2905</v>
      </c>
      <c r="C2899" s="286" t="s">
        <v>2975</v>
      </c>
      <c r="D2899" s="865" t="s">
        <v>2975</v>
      </c>
      <c r="E2899" s="287" t="s">
        <v>3566</v>
      </c>
      <c r="F2899" s="287" t="s">
        <v>3558</v>
      </c>
      <c r="G2899" s="288" t="s">
        <v>3569</v>
      </c>
    </row>
    <row r="2900" spans="1:7" x14ac:dyDescent="0.2">
      <c r="A2900" s="944">
        <v>39169003000</v>
      </c>
      <c r="B2900" s="239" t="s">
        <v>2906</v>
      </c>
      <c r="C2900" s="286" t="s">
        <v>2975</v>
      </c>
      <c r="D2900" s="865" t="s">
        <v>2975</v>
      </c>
      <c r="E2900" s="287" t="s">
        <v>3563</v>
      </c>
      <c r="F2900" s="287" t="s">
        <v>3558</v>
      </c>
      <c r="G2900" s="288" t="s">
        <v>3568</v>
      </c>
    </row>
    <row r="2901" spans="1:7" x14ac:dyDescent="0.2">
      <c r="A2901" s="944">
        <v>39169003100</v>
      </c>
      <c r="B2901" s="239" t="s">
        <v>2907</v>
      </c>
      <c r="C2901" s="286" t="s">
        <v>2975</v>
      </c>
      <c r="D2901" s="865" t="s">
        <v>2975</v>
      </c>
      <c r="E2901" s="287" t="s">
        <v>3563</v>
      </c>
      <c r="F2901" s="287" t="s">
        <v>5177</v>
      </c>
      <c r="G2901" s="288" t="s">
        <v>3568</v>
      </c>
    </row>
    <row r="2902" spans="1:7" x14ac:dyDescent="0.2">
      <c r="A2902" s="944">
        <v>39169003200</v>
      </c>
      <c r="B2902" s="239" t="s">
        <v>2908</v>
      </c>
      <c r="C2902" s="286" t="s">
        <v>2975</v>
      </c>
      <c r="D2902" s="865" t="s">
        <v>2975</v>
      </c>
      <c r="E2902" s="287" t="s">
        <v>3562</v>
      </c>
      <c r="F2902" s="287" t="s">
        <v>3565</v>
      </c>
      <c r="G2902" s="288" t="s">
        <v>3568</v>
      </c>
    </row>
    <row r="2903" spans="1:7" x14ac:dyDescent="0.2">
      <c r="A2903" s="944">
        <v>39169003300</v>
      </c>
      <c r="B2903" s="239" t="s">
        <v>2909</v>
      </c>
      <c r="C2903" s="286" t="s">
        <v>2975</v>
      </c>
      <c r="D2903" s="865" t="s">
        <v>2975</v>
      </c>
      <c r="E2903" s="287" t="s">
        <v>3563</v>
      </c>
      <c r="F2903" s="287" t="s">
        <v>3558</v>
      </c>
      <c r="G2903" s="288" t="s">
        <v>3568</v>
      </c>
    </row>
    <row r="2904" spans="1:7" x14ac:dyDescent="0.2">
      <c r="A2904" s="944">
        <v>39169003400</v>
      </c>
      <c r="B2904" s="239" t="s">
        <v>2910</v>
      </c>
      <c r="C2904" s="286" t="s">
        <v>2975</v>
      </c>
      <c r="D2904" s="865" t="s">
        <v>2975</v>
      </c>
      <c r="E2904" s="287" t="s">
        <v>3564</v>
      </c>
      <c r="F2904" s="287" t="s">
        <v>5176</v>
      </c>
      <c r="G2904" s="288" t="s">
        <v>3569</v>
      </c>
    </row>
    <row r="2905" spans="1:7" x14ac:dyDescent="0.2">
      <c r="A2905" s="944">
        <v>39169003500</v>
      </c>
      <c r="B2905" s="239" t="s">
        <v>2911</v>
      </c>
      <c r="C2905" s="286" t="s">
        <v>2975</v>
      </c>
      <c r="D2905" s="865" t="s">
        <v>2975</v>
      </c>
      <c r="E2905" s="287" t="s">
        <v>3566</v>
      </c>
      <c r="F2905" s="287" t="s">
        <v>3565</v>
      </c>
      <c r="G2905" s="288" t="s">
        <v>3569</v>
      </c>
    </row>
    <row r="2906" spans="1:7" x14ac:dyDescent="0.2">
      <c r="A2906" s="944">
        <v>39169003700</v>
      </c>
      <c r="B2906" s="239" t="s">
        <v>2912</v>
      </c>
      <c r="C2906" s="286" t="s">
        <v>2975</v>
      </c>
      <c r="D2906" s="865" t="s">
        <v>2975</v>
      </c>
      <c r="E2906" s="287" t="s">
        <v>3564</v>
      </c>
      <c r="F2906" s="287" t="s">
        <v>3558</v>
      </c>
      <c r="G2906" s="288" t="s">
        <v>3568</v>
      </c>
    </row>
    <row r="2907" spans="1:7" x14ac:dyDescent="0.2">
      <c r="A2907" s="944">
        <v>39169980000</v>
      </c>
      <c r="B2907" s="239" t="s">
        <v>2913</v>
      </c>
      <c r="C2907" s="286" t="s">
        <v>2975</v>
      </c>
      <c r="D2907" s="865" t="s">
        <v>2975</v>
      </c>
      <c r="E2907" s="287" t="s">
        <v>3563</v>
      </c>
      <c r="F2907" s="287" t="s">
        <v>5176</v>
      </c>
      <c r="G2907" s="288" t="s">
        <v>5175</v>
      </c>
    </row>
    <row r="2908" spans="1:7" x14ac:dyDescent="0.2">
      <c r="A2908" s="944">
        <v>39171950100</v>
      </c>
      <c r="B2908" s="239" t="s">
        <v>2914</v>
      </c>
      <c r="C2908" s="286" t="s">
        <v>2975</v>
      </c>
      <c r="D2908" s="865" t="s">
        <v>2975</v>
      </c>
      <c r="E2908" s="287" t="s">
        <v>3566</v>
      </c>
      <c r="F2908" s="287" t="s">
        <v>3558</v>
      </c>
      <c r="G2908" s="288" t="s">
        <v>3568</v>
      </c>
    </row>
    <row r="2909" spans="1:7" x14ac:dyDescent="0.2">
      <c r="A2909" s="944">
        <v>39171950200</v>
      </c>
      <c r="B2909" s="239" t="s">
        <v>2915</v>
      </c>
      <c r="C2909" s="286" t="s">
        <v>2975</v>
      </c>
      <c r="D2909" s="865" t="s">
        <v>2975</v>
      </c>
      <c r="E2909" s="287" t="s">
        <v>3566</v>
      </c>
      <c r="F2909" s="287" t="s">
        <v>5177</v>
      </c>
      <c r="G2909" s="288" t="s">
        <v>3568</v>
      </c>
    </row>
    <row r="2910" spans="1:7" x14ac:dyDescent="0.2">
      <c r="A2910" s="944">
        <v>39171950300</v>
      </c>
      <c r="B2910" s="239" t="s">
        <v>2916</v>
      </c>
      <c r="C2910" s="286" t="s">
        <v>2975</v>
      </c>
      <c r="D2910" s="865" t="s">
        <v>2975</v>
      </c>
      <c r="E2910" s="287" t="s">
        <v>3566</v>
      </c>
      <c r="F2910" s="287" t="s">
        <v>5177</v>
      </c>
      <c r="G2910" s="288" t="s">
        <v>3568</v>
      </c>
    </row>
    <row r="2911" spans="1:7" x14ac:dyDescent="0.2">
      <c r="A2911" s="944">
        <v>39171950400</v>
      </c>
      <c r="B2911" s="239" t="s">
        <v>2917</v>
      </c>
      <c r="C2911" s="286" t="s">
        <v>2975</v>
      </c>
      <c r="D2911" s="865" t="s">
        <v>2975</v>
      </c>
      <c r="E2911" s="287" t="s">
        <v>3563</v>
      </c>
      <c r="F2911" s="287" t="s">
        <v>3558</v>
      </c>
      <c r="G2911" s="288" t="s">
        <v>3568</v>
      </c>
    </row>
    <row r="2912" spans="1:7" x14ac:dyDescent="0.2">
      <c r="A2912" s="944">
        <v>39171950500</v>
      </c>
      <c r="B2912" s="239" t="s">
        <v>2918</v>
      </c>
      <c r="C2912" s="286" t="s">
        <v>2975</v>
      </c>
      <c r="D2912" s="865" t="s">
        <v>2975</v>
      </c>
      <c r="E2912" s="287" t="s">
        <v>3563</v>
      </c>
      <c r="F2912" s="287" t="s">
        <v>5177</v>
      </c>
      <c r="G2912" s="288" t="s">
        <v>3568</v>
      </c>
    </row>
    <row r="2913" spans="1:7" x14ac:dyDescent="0.2">
      <c r="A2913" s="944">
        <v>39171950600</v>
      </c>
      <c r="B2913" s="239" t="s">
        <v>2919</v>
      </c>
      <c r="C2913" s="286" t="s">
        <v>4330</v>
      </c>
      <c r="D2913" s="865" t="s">
        <v>4330</v>
      </c>
      <c r="E2913" s="287" t="s">
        <v>3566</v>
      </c>
      <c r="F2913" s="287" t="s">
        <v>5177</v>
      </c>
      <c r="G2913" s="288" t="s">
        <v>3568</v>
      </c>
    </row>
    <row r="2914" spans="1:7" x14ac:dyDescent="0.2">
      <c r="A2914" s="944">
        <v>39171950700</v>
      </c>
      <c r="B2914" s="239" t="s">
        <v>2920</v>
      </c>
      <c r="C2914" s="286" t="s">
        <v>2975</v>
      </c>
      <c r="D2914" s="865" t="s">
        <v>2975</v>
      </c>
      <c r="E2914" s="287" t="s">
        <v>3562</v>
      </c>
      <c r="F2914" s="287" t="s">
        <v>3559</v>
      </c>
      <c r="G2914" s="288" t="s">
        <v>3568</v>
      </c>
    </row>
    <row r="2915" spans="1:7" x14ac:dyDescent="0.2">
      <c r="A2915" s="944">
        <v>39171950800</v>
      </c>
      <c r="B2915" s="239" t="s">
        <v>2921</v>
      </c>
      <c r="C2915" s="286" t="s">
        <v>2975</v>
      </c>
      <c r="D2915" s="865" t="s">
        <v>2975</v>
      </c>
      <c r="E2915" s="287" t="s">
        <v>3563</v>
      </c>
      <c r="F2915" s="287" t="s">
        <v>3559</v>
      </c>
      <c r="G2915" s="288" t="s">
        <v>3568</v>
      </c>
    </row>
    <row r="2916" spans="1:7" x14ac:dyDescent="0.2">
      <c r="A2916" s="944">
        <v>39171950900</v>
      </c>
      <c r="B2916" s="239" t="s">
        <v>2922</v>
      </c>
      <c r="C2916" s="286" t="s">
        <v>2975</v>
      </c>
      <c r="D2916" s="865" t="s">
        <v>2975</v>
      </c>
      <c r="E2916" s="287" t="s">
        <v>3563</v>
      </c>
      <c r="F2916" s="287" t="s">
        <v>3559</v>
      </c>
      <c r="G2916" s="288" t="s">
        <v>3568</v>
      </c>
    </row>
    <row r="2917" spans="1:7" x14ac:dyDescent="0.2">
      <c r="A2917" s="944">
        <v>39173020100</v>
      </c>
      <c r="B2917" s="239" t="s">
        <v>2923</v>
      </c>
      <c r="C2917" s="286" t="s">
        <v>2975</v>
      </c>
      <c r="D2917" s="865" t="s">
        <v>2975</v>
      </c>
      <c r="E2917" s="287" t="s">
        <v>3566</v>
      </c>
      <c r="F2917" s="287" t="s">
        <v>3558</v>
      </c>
      <c r="G2917" s="288" t="s">
        <v>3569</v>
      </c>
    </row>
    <row r="2918" spans="1:7" x14ac:dyDescent="0.2">
      <c r="A2918" s="944">
        <v>39173020200</v>
      </c>
      <c r="B2918" s="239" t="s">
        <v>2924</v>
      </c>
      <c r="C2918" s="286" t="s">
        <v>2975</v>
      </c>
      <c r="D2918" s="865" t="s">
        <v>2975</v>
      </c>
      <c r="E2918" s="287" t="s">
        <v>3566</v>
      </c>
      <c r="F2918" s="287" t="s">
        <v>3565</v>
      </c>
      <c r="G2918" s="288" t="s">
        <v>3569</v>
      </c>
    </row>
    <row r="2919" spans="1:7" x14ac:dyDescent="0.2">
      <c r="A2919" s="944">
        <v>39173020300</v>
      </c>
      <c r="B2919" s="239" t="s">
        <v>2925</v>
      </c>
      <c r="C2919" s="286" t="s">
        <v>2975</v>
      </c>
      <c r="D2919" s="865" t="s">
        <v>2975</v>
      </c>
      <c r="E2919" s="287" t="s">
        <v>3566</v>
      </c>
      <c r="F2919" s="287" t="s">
        <v>5177</v>
      </c>
      <c r="G2919" s="288" t="s">
        <v>3569</v>
      </c>
    </row>
    <row r="2920" spans="1:7" x14ac:dyDescent="0.2">
      <c r="A2920" s="944">
        <v>39173020401</v>
      </c>
      <c r="B2920" s="239" t="s">
        <v>2926</v>
      </c>
      <c r="C2920" s="286" t="s">
        <v>2975</v>
      </c>
      <c r="D2920" s="865" t="s">
        <v>2975</v>
      </c>
      <c r="E2920" s="287" t="s">
        <v>3562</v>
      </c>
      <c r="F2920" s="287" t="s">
        <v>3565</v>
      </c>
      <c r="G2920" s="288" t="s">
        <v>3569</v>
      </c>
    </row>
    <row r="2921" spans="1:7" x14ac:dyDescent="0.2">
      <c r="A2921" s="944">
        <v>39173020402</v>
      </c>
      <c r="B2921" s="239" t="s">
        <v>2927</v>
      </c>
      <c r="C2921" s="286" t="s">
        <v>2975</v>
      </c>
      <c r="D2921" s="865" t="s">
        <v>2975</v>
      </c>
      <c r="E2921" s="287" t="s">
        <v>3562</v>
      </c>
      <c r="F2921" s="287" t="s">
        <v>5177</v>
      </c>
      <c r="G2921" s="288" t="s">
        <v>3569</v>
      </c>
    </row>
    <row r="2922" spans="1:7" x14ac:dyDescent="0.2">
      <c r="A2922" s="944">
        <v>39173020500</v>
      </c>
      <c r="B2922" s="239" t="s">
        <v>2928</v>
      </c>
      <c r="C2922" s="286" t="s">
        <v>2975</v>
      </c>
      <c r="D2922" s="865" t="s">
        <v>2975</v>
      </c>
      <c r="E2922" s="287" t="s">
        <v>3562</v>
      </c>
      <c r="F2922" s="287" t="s">
        <v>5177</v>
      </c>
      <c r="G2922" s="288" t="s">
        <v>3569</v>
      </c>
    </row>
    <row r="2923" spans="1:7" x14ac:dyDescent="0.2">
      <c r="A2923" s="944">
        <v>39173020601</v>
      </c>
      <c r="B2923" s="239" t="s">
        <v>2929</v>
      </c>
      <c r="C2923" s="286" t="s">
        <v>2975</v>
      </c>
      <c r="D2923" s="865" t="s">
        <v>2975</v>
      </c>
      <c r="E2923" s="287" t="s">
        <v>3562</v>
      </c>
      <c r="F2923" s="287" t="s">
        <v>3558</v>
      </c>
      <c r="G2923" s="288" t="s">
        <v>3569</v>
      </c>
    </row>
    <row r="2924" spans="1:7" x14ac:dyDescent="0.2">
      <c r="A2924" s="944">
        <v>39173020602</v>
      </c>
      <c r="B2924" s="239" t="s">
        <v>2930</v>
      </c>
      <c r="C2924" s="286" t="s">
        <v>2975</v>
      </c>
      <c r="D2924" s="865" t="s">
        <v>2975</v>
      </c>
      <c r="E2924" s="287" t="s">
        <v>3562</v>
      </c>
      <c r="F2924" s="287" t="s">
        <v>3558</v>
      </c>
      <c r="G2924" s="288" t="s">
        <v>3569</v>
      </c>
    </row>
    <row r="2925" spans="1:7" x14ac:dyDescent="0.2">
      <c r="A2925" s="944">
        <v>39173020700</v>
      </c>
      <c r="B2925" s="239" t="s">
        <v>2931</v>
      </c>
      <c r="C2925" s="286" t="s">
        <v>2975</v>
      </c>
      <c r="D2925" s="865" t="s">
        <v>2975</v>
      </c>
      <c r="E2925" s="287" t="s">
        <v>3563</v>
      </c>
      <c r="F2925" s="287" t="s">
        <v>3565</v>
      </c>
      <c r="G2925" s="288" t="s">
        <v>3568</v>
      </c>
    </row>
    <row r="2926" spans="1:7" x14ac:dyDescent="0.2">
      <c r="A2926" s="944">
        <v>39173020800</v>
      </c>
      <c r="B2926" s="239" t="s">
        <v>2932</v>
      </c>
      <c r="C2926" s="286" t="s">
        <v>2975</v>
      </c>
      <c r="D2926" s="865" t="s">
        <v>2975</v>
      </c>
      <c r="E2926" s="287" t="s">
        <v>3564</v>
      </c>
      <c r="F2926" s="287" t="s">
        <v>3565</v>
      </c>
      <c r="G2926" s="288" t="s">
        <v>3569</v>
      </c>
    </row>
    <row r="2927" spans="1:7" x14ac:dyDescent="0.2">
      <c r="A2927" s="944">
        <v>39173020900</v>
      </c>
      <c r="B2927" s="239" t="s">
        <v>2933</v>
      </c>
      <c r="C2927" s="286" t="s">
        <v>2975</v>
      </c>
      <c r="D2927" s="865" t="s">
        <v>2975</v>
      </c>
      <c r="E2927" s="287" t="s">
        <v>3563</v>
      </c>
      <c r="F2927" s="287" t="s">
        <v>3559</v>
      </c>
      <c r="G2927" s="288" t="s">
        <v>3568</v>
      </c>
    </row>
    <row r="2928" spans="1:7" x14ac:dyDescent="0.2">
      <c r="A2928" s="944">
        <v>39173021000</v>
      </c>
      <c r="B2928" s="239" t="s">
        <v>2934</v>
      </c>
      <c r="C2928" s="286" t="s">
        <v>2975</v>
      </c>
      <c r="D2928" s="865" t="s">
        <v>2975</v>
      </c>
      <c r="E2928" s="287" t="s">
        <v>3562</v>
      </c>
      <c r="F2928" s="287" t="s">
        <v>3565</v>
      </c>
      <c r="G2928" s="288" t="s">
        <v>3568</v>
      </c>
    </row>
    <row r="2929" spans="1:7" x14ac:dyDescent="0.2">
      <c r="A2929" s="944">
        <v>39173021100</v>
      </c>
      <c r="B2929" s="239" t="s">
        <v>2935</v>
      </c>
      <c r="C2929" s="286" t="s">
        <v>2975</v>
      </c>
      <c r="D2929" s="865" t="s">
        <v>2975</v>
      </c>
      <c r="E2929" s="287" t="s">
        <v>3562</v>
      </c>
      <c r="F2929" s="287" t="s">
        <v>5177</v>
      </c>
      <c r="G2929" s="288" t="s">
        <v>3568</v>
      </c>
    </row>
    <row r="2930" spans="1:7" x14ac:dyDescent="0.2">
      <c r="A2930" s="944">
        <v>39173021200</v>
      </c>
      <c r="B2930" s="239" t="s">
        <v>2936</v>
      </c>
      <c r="C2930" s="286" t="s">
        <v>2975</v>
      </c>
      <c r="D2930" s="865" t="s">
        <v>2975</v>
      </c>
      <c r="E2930" s="287" t="s">
        <v>3562</v>
      </c>
      <c r="F2930" s="287" t="s">
        <v>5177</v>
      </c>
      <c r="G2930" s="288" t="s">
        <v>3568</v>
      </c>
    </row>
    <row r="2931" spans="1:7" x14ac:dyDescent="0.2">
      <c r="A2931" s="944">
        <v>39173021300</v>
      </c>
      <c r="B2931" s="239" t="s">
        <v>2937</v>
      </c>
      <c r="C2931" s="286" t="s">
        <v>2975</v>
      </c>
      <c r="D2931" s="865" t="s">
        <v>2975</v>
      </c>
      <c r="E2931" s="287" t="s">
        <v>3563</v>
      </c>
      <c r="F2931" s="287" t="s">
        <v>3558</v>
      </c>
      <c r="G2931" s="288" t="s">
        <v>3568</v>
      </c>
    </row>
    <row r="2932" spans="1:7" x14ac:dyDescent="0.2">
      <c r="A2932" s="944">
        <v>39173021400</v>
      </c>
      <c r="B2932" s="239" t="s">
        <v>2938</v>
      </c>
      <c r="C2932" s="286" t="s">
        <v>2975</v>
      </c>
      <c r="D2932" s="865" t="s">
        <v>2975</v>
      </c>
      <c r="E2932" s="287" t="s">
        <v>3566</v>
      </c>
      <c r="F2932" s="287" t="s">
        <v>3559</v>
      </c>
      <c r="G2932" s="288" t="s">
        <v>3568</v>
      </c>
    </row>
    <row r="2933" spans="1:7" x14ac:dyDescent="0.2">
      <c r="A2933" s="944">
        <v>39173021500</v>
      </c>
      <c r="B2933" s="239" t="s">
        <v>2939</v>
      </c>
      <c r="C2933" s="286" t="s">
        <v>2975</v>
      </c>
      <c r="D2933" s="865" t="s">
        <v>2975</v>
      </c>
      <c r="E2933" s="287" t="s">
        <v>3566</v>
      </c>
      <c r="F2933" s="287" t="s">
        <v>5176</v>
      </c>
      <c r="G2933" s="288" t="s">
        <v>3568</v>
      </c>
    </row>
    <row r="2934" spans="1:7" x14ac:dyDescent="0.2">
      <c r="A2934" s="944">
        <v>39173021600</v>
      </c>
      <c r="B2934" s="239" t="s">
        <v>2940</v>
      </c>
      <c r="C2934" s="286" t="s">
        <v>2975</v>
      </c>
      <c r="D2934" s="865" t="s">
        <v>2975</v>
      </c>
      <c r="E2934" s="287" t="s">
        <v>3562</v>
      </c>
      <c r="F2934" s="287" t="s">
        <v>5177</v>
      </c>
      <c r="G2934" s="288" t="s">
        <v>3568</v>
      </c>
    </row>
    <row r="2935" spans="1:7" x14ac:dyDescent="0.2">
      <c r="A2935" s="944">
        <v>39173021701</v>
      </c>
      <c r="B2935" s="239" t="s">
        <v>2941</v>
      </c>
      <c r="C2935" s="286" t="s">
        <v>4330</v>
      </c>
      <c r="D2935" s="865" t="s">
        <v>4330</v>
      </c>
      <c r="E2935" s="287" t="s">
        <v>3562</v>
      </c>
      <c r="F2935" s="287" t="s">
        <v>3565</v>
      </c>
      <c r="G2935" s="288" t="s">
        <v>5175</v>
      </c>
    </row>
    <row r="2936" spans="1:7" x14ac:dyDescent="0.2">
      <c r="A2936" s="944">
        <v>39173021702</v>
      </c>
      <c r="B2936" s="239" t="s">
        <v>2942</v>
      </c>
      <c r="C2936" s="286" t="s">
        <v>4330</v>
      </c>
      <c r="D2936" s="865" t="s">
        <v>4330</v>
      </c>
      <c r="E2936" s="287" t="s">
        <v>3562</v>
      </c>
      <c r="F2936" s="287" t="s">
        <v>3560</v>
      </c>
      <c r="G2936" s="288" t="s">
        <v>5175</v>
      </c>
    </row>
    <row r="2937" spans="1:7" x14ac:dyDescent="0.2">
      <c r="A2937" s="944">
        <v>39173021800</v>
      </c>
      <c r="B2937" s="239" t="s">
        <v>2943</v>
      </c>
      <c r="C2937" s="286" t="s">
        <v>4330</v>
      </c>
      <c r="D2937" s="865" t="s">
        <v>4330</v>
      </c>
      <c r="E2937" s="287" t="s">
        <v>3566</v>
      </c>
      <c r="F2937" s="287" t="s">
        <v>5177</v>
      </c>
      <c r="G2937" s="288" t="s">
        <v>3568</v>
      </c>
    </row>
    <row r="2938" spans="1:7" x14ac:dyDescent="0.2">
      <c r="A2938" s="944">
        <v>39173021901</v>
      </c>
      <c r="B2938" s="239" t="s">
        <v>2944</v>
      </c>
      <c r="C2938" s="286" t="s">
        <v>2975</v>
      </c>
      <c r="D2938" s="865" t="s">
        <v>2975</v>
      </c>
      <c r="E2938" s="287" t="s">
        <v>3562</v>
      </c>
      <c r="F2938" s="287" t="s">
        <v>5176</v>
      </c>
      <c r="G2938" s="288" t="s">
        <v>3568</v>
      </c>
    </row>
    <row r="2939" spans="1:7" x14ac:dyDescent="0.2">
      <c r="A2939" s="944">
        <v>39173021902</v>
      </c>
      <c r="B2939" s="239" t="s">
        <v>2945</v>
      </c>
      <c r="C2939" s="286" t="s">
        <v>4330</v>
      </c>
      <c r="D2939" s="865" t="s">
        <v>4330</v>
      </c>
      <c r="E2939" s="287" t="s">
        <v>3562</v>
      </c>
      <c r="F2939" s="287" t="s">
        <v>3565</v>
      </c>
      <c r="G2939" s="288" t="s">
        <v>3568</v>
      </c>
    </row>
    <row r="2940" spans="1:7" x14ac:dyDescent="0.2">
      <c r="A2940" s="944">
        <v>39173022100</v>
      </c>
      <c r="B2940" s="239" t="s">
        <v>2946</v>
      </c>
      <c r="C2940" s="286" t="s">
        <v>2975</v>
      </c>
      <c r="D2940" s="865" t="s">
        <v>2975</v>
      </c>
      <c r="E2940" s="287" t="s">
        <v>3566</v>
      </c>
      <c r="F2940" s="287" t="s">
        <v>3559</v>
      </c>
      <c r="G2940" s="288" t="s">
        <v>3568</v>
      </c>
    </row>
    <row r="2941" spans="1:7" x14ac:dyDescent="0.2">
      <c r="A2941" s="944">
        <v>39173022200</v>
      </c>
      <c r="B2941" s="239" t="s">
        <v>2947</v>
      </c>
      <c r="C2941" s="286" t="s">
        <v>2975</v>
      </c>
      <c r="D2941" s="865" t="s">
        <v>2975</v>
      </c>
      <c r="E2941" s="287" t="s">
        <v>3557</v>
      </c>
      <c r="F2941" s="287" t="s">
        <v>3558</v>
      </c>
      <c r="G2941" s="288" t="s">
        <v>3568</v>
      </c>
    </row>
    <row r="2942" spans="1:7" x14ac:dyDescent="0.2">
      <c r="A2942" s="944">
        <v>39173022300</v>
      </c>
      <c r="B2942" s="239" t="s">
        <v>2948</v>
      </c>
      <c r="C2942" s="286" t="s">
        <v>2975</v>
      </c>
      <c r="D2942" s="865" t="s">
        <v>2975</v>
      </c>
      <c r="E2942" s="287" t="s">
        <v>3566</v>
      </c>
      <c r="F2942" s="287" t="s">
        <v>3565</v>
      </c>
      <c r="G2942" s="288" t="s">
        <v>3568</v>
      </c>
    </row>
    <row r="2943" spans="1:7" x14ac:dyDescent="0.2">
      <c r="A2943" s="944">
        <v>39173022400</v>
      </c>
      <c r="B2943" s="239" t="s">
        <v>2949</v>
      </c>
      <c r="C2943" s="286" t="s">
        <v>2975</v>
      </c>
      <c r="D2943" s="865" t="s">
        <v>2975</v>
      </c>
      <c r="E2943" s="287" t="s">
        <v>3566</v>
      </c>
      <c r="F2943" s="287" t="s">
        <v>5177</v>
      </c>
      <c r="G2943" s="288" t="s">
        <v>3568</v>
      </c>
    </row>
    <row r="2944" spans="1:7" x14ac:dyDescent="0.2">
      <c r="A2944" s="944">
        <v>39173022500</v>
      </c>
      <c r="B2944" s="239" t="s">
        <v>2950</v>
      </c>
      <c r="C2944" s="286" t="s">
        <v>2975</v>
      </c>
      <c r="D2944" s="865" t="s">
        <v>2975</v>
      </c>
      <c r="E2944" s="287" t="s">
        <v>3562</v>
      </c>
      <c r="F2944" s="287" t="s">
        <v>3559</v>
      </c>
      <c r="G2944" s="288" t="s">
        <v>3568</v>
      </c>
    </row>
    <row r="2945" spans="1:9" x14ac:dyDescent="0.2">
      <c r="A2945" s="944">
        <v>39175938000</v>
      </c>
      <c r="B2945" s="239" t="s">
        <v>2951</v>
      </c>
      <c r="C2945" s="286" t="s">
        <v>2975</v>
      </c>
      <c r="D2945" s="865" t="s">
        <v>2975</v>
      </c>
      <c r="E2945" s="287" t="s">
        <v>3563</v>
      </c>
      <c r="F2945" s="287" t="s">
        <v>3565</v>
      </c>
      <c r="G2945" s="288" t="s">
        <v>3568</v>
      </c>
    </row>
    <row r="2946" spans="1:9" x14ac:dyDescent="0.2">
      <c r="A2946" s="944">
        <v>39175938100</v>
      </c>
      <c r="B2946" s="239" t="s">
        <v>2952</v>
      </c>
      <c r="C2946" s="286" t="s">
        <v>2975</v>
      </c>
      <c r="D2946" s="865" t="s">
        <v>2975</v>
      </c>
      <c r="E2946" s="287" t="s">
        <v>3566</v>
      </c>
      <c r="F2946" s="287" t="s">
        <v>3558</v>
      </c>
      <c r="G2946" s="288" t="s">
        <v>3568</v>
      </c>
    </row>
    <row r="2947" spans="1:9" x14ac:dyDescent="0.2">
      <c r="A2947" s="944">
        <v>39175938200</v>
      </c>
      <c r="B2947" s="239" t="s">
        <v>2953</v>
      </c>
      <c r="C2947" s="286" t="s">
        <v>2975</v>
      </c>
      <c r="D2947" s="865" t="s">
        <v>2975</v>
      </c>
      <c r="E2947" s="287" t="s">
        <v>3566</v>
      </c>
      <c r="F2947" s="287" t="s">
        <v>3559</v>
      </c>
      <c r="G2947" s="288" t="s">
        <v>3568</v>
      </c>
    </row>
    <row r="2948" spans="1:9" x14ac:dyDescent="0.2">
      <c r="A2948" s="944">
        <v>39175938300</v>
      </c>
      <c r="B2948" s="239" t="s">
        <v>2954</v>
      </c>
      <c r="C2948" s="286" t="s">
        <v>2975</v>
      </c>
      <c r="D2948" s="865" t="s">
        <v>2975</v>
      </c>
      <c r="E2948" s="287" t="s">
        <v>3563</v>
      </c>
      <c r="F2948" s="287" t="s">
        <v>3558</v>
      </c>
      <c r="G2948" s="288" t="s">
        <v>3568</v>
      </c>
    </row>
    <row r="2949" spans="1:9" x14ac:dyDescent="0.2">
      <c r="A2949" s="944">
        <v>39175938400</v>
      </c>
      <c r="B2949" s="239" t="s">
        <v>2955</v>
      </c>
      <c r="C2949" s="286" t="s">
        <v>2975</v>
      </c>
      <c r="D2949" s="865" t="s">
        <v>2975</v>
      </c>
      <c r="E2949" s="287" t="s">
        <v>3562</v>
      </c>
      <c r="F2949" s="287" t="s">
        <v>5177</v>
      </c>
      <c r="G2949" s="288" t="s">
        <v>3568</v>
      </c>
    </row>
    <row r="2950" spans="1:9" ht="15" thickBot="1" x14ac:dyDescent="0.25">
      <c r="A2950" s="945">
        <v>39175938500</v>
      </c>
      <c r="B2950" s="244" t="s">
        <v>2956</v>
      </c>
      <c r="C2950" s="946" t="s">
        <v>2975</v>
      </c>
      <c r="D2950" s="866" t="s">
        <v>2975</v>
      </c>
      <c r="E2950" s="943" t="s">
        <v>3566</v>
      </c>
      <c r="F2950" s="943" t="s">
        <v>3558</v>
      </c>
      <c r="G2950" s="763" t="s">
        <v>3568</v>
      </c>
    </row>
    <row r="2951" spans="1:9" ht="15" x14ac:dyDescent="0.25">
      <c r="A2951" s="766" t="s">
        <v>2957</v>
      </c>
      <c r="B2951" s="420" t="s">
        <v>22</v>
      </c>
      <c r="C2951" s="420" t="s">
        <v>5333</v>
      </c>
    </row>
    <row r="2952" spans="1:9" x14ac:dyDescent="0.2">
      <c r="A2952" s="333">
        <v>39001770100</v>
      </c>
      <c r="B2952" t="s">
        <v>23</v>
      </c>
      <c r="C2952" s="341" t="s">
        <v>4330</v>
      </c>
    </row>
    <row r="2953" spans="1:9" x14ac:dyDescent="0.2">
      <c r="A2953" s="333">
        <v>39001770200</v>
      </c>
      <c r="B2953" t="s">
        <v>24</v>
      </c>
      <c r="C2953" s="341" t="s">
        <v>5334</v>
      </c>
    </row>
    <row r="2954" spans="1:9" x14ac:dyDescent="0.2">
      <c r="A2954" s="333">
        <v>39001770301</v>
      </c>
      <c r="B2954" t="s">
        <v>5335</v>
      </c>
      <c r="C2954" s="341" t="s">
        <v>5334</v>
      </c>
      <c r="H2954" s="764"/>
      <c r="I2954" s="764"/>
    </row>
    <row r="2955" spans="1:9" x14ac:dyDescent="0.2">
      <c r="A2955" s="333">
        <v>39001770302</v>
      </c>
      <c r="B2955" t="s">
        <v>5336</v>
      </c>
      <c r="C2955" s="341" t="s">
        <v>5334</v>
      </c>
      <c r="H2955" s="764"/>
      <c r="I2955" s="764"/>
    </row>
    <row r="2956" spans="1:9" x14ac:dyDescent="0.2">
      <c r="A2956" s="333">
        <v>39001770400</v>
      </c>
      <c r="B2956" t="s">
        <v>26</v>
      </c>
      <c r="C2956" s="341" t="s">
        <v>4330</v>
      </c>
      <c r="H2956" s="764"/>
      <c r="I2956" s="764"/>
    </row>
    <row r="2957" spans="1:9" x14ac:dyDescent="0.2">
      <c r="A2957" s="333">
        <v>39001770500</v>
      </c>
      <c r="B2957" t="s">
        <v>27</v>
      </c>
      <c r="C2957" s="341" t="s">
        <v>4330</v>
      </c>
    </row>
    <row r="2958" spans="1:9" x14ac:dyDescent="0.2">
      <c r="A2958" s="333">
        <v>39001770600</v>
      </c>
      <c r="B2958" t="s">
        <v>28</v>
      </c>
      <c r="C2958" s="341" t="s">
        <v>4330</v>
      </c>
    </row>
    <row r="2959" spans="1:9" x14ac:dyDescent="0.2">
      <c r="A2959" s="333">
        <v>39003010100</v>
      </c>
      <c r="B2959" t="s">
        <v>29</v>
      </c>
      <c r="C2959" s="341" t="s">
        <v>5334</v>
      </c>
    </row>
    <row r="2960" spans="1:9" x14ac:dyDescent="0.2">
      <c r="A2960" s="333">
        <v>39003010200</v>
      </c>
      <c r="B2960" t="s">
        <v>30</v>
      </c>
      <c r="C2960" s="341" t="s">
        <v>5334</v>
      </c>
    </row>
    <row r="2961" spans="1:3" x14ac:dyDescent="0.2">
      <c r="A2961" s="333">
        <v>39003010300</v>
      </c>
      <c r="B2961" t="s">
        <v>31</v>
      </c>
      <c r="C2961" s="341" t="s">
        <v>5334</v>
      </c>
    </row>
    <row r="2962" spans="1:3" x14ac:dyDescent="0.2">
      <c r="A2962" s="333">
        <v>39003010600</v>
      </c>
      <c r="B2962" t="s">
        <v>32</v>
      </c>
      <c r="C2962" s="341" t="s">
        <v>5334</v>
      </c>
    </row>
    <row r="2963" spans="1:3" x14ac:dyDescent="0.2">
      <c r="A2963" s="333">
        <v>39003010801</v>
      </c>
      <c r="B2963" t="s">
        <v>5337</v>
      </c>
      <c r="C2963" s="341" t="s">
        <v>5334</v>
      </c>
    </row>
    <row r="2964" spans="1:3" x14ac:dyDescent="0.2">
      <c r="A2964" s="333">
        <v>39003010802</v>
      </c>
      <c r="B2964" t="s">
        <v>5338</v>
      </c>
      <c r="C2964" s="341" t="s">
        <v>5334</v>
      </c>
    </row>
    <row r="2965" spans="1:3" x14ac:dyDescent="0.2">
      <c r="A2965" s="333">
        <v>39003010900</v>
      </c>
      <c r="B2965" t="s">
        <v>34</v>
      </c>
      <c r="C2965" s="341" t="s">
        <v>5334</v>
      </c>
    </row>
    <row r="2966" spans="1:3" x14ac:dyDescent="0.2">
      <c r="A2966" s="333">
        <v>39003011000</v>
      </c>
      <c r="B2966" t="s">
        <v>35</v>
      </c>
      <c r="C2966" s="341" t="s">
        <v>5334</v>
      </c>
    </row>
    <row r="2967" spans="1:3" x14ac:dyDescent="0.2">
      <c r="A2967" s="333">
        <v>39003011200</v>
      </c>
      <c r="B2967" t="s">
        <v>36</v>
      </c>
      <c r="C2967" s="341" t="s">
        <v>5334</v>
      </c>
    </row>
    <row r="2968" spans="1:3" x14ac:dyDescent="0.2">
      <c r="A2968" s="333">
        <v>39003011301</v>
      </c>
      <c r="B2968" t="s">
        <v>5339</v>
      </c>
      <c r="C2968" s="341" t="s">
        <v>5334</v>
      </c>
    </row>
    <row r="2969" spans="1:3" x14ac:dyDescent="0.2">
      <c r="A2969" s="333">
        <v>39003011302</v>
      </c>
      <c r="B2969" t="s">
        <v>5340</v>
      </c>
      <c r="C2969" s="341" t="s">
        <v>5334</v>
      </c>
    </row>
    <row r="2970" spans="1:3" x14ac:dyDescent="0.2">
      <c r="A2970" s="333">
        <v>39003011400</v>
      </c>
      <c r="B2970" t="s">
        <v>38</v>
      </c>
      <c r="C2970" s="341" t="s">
        <v>5334</v>
      </c>
    </row>
    <row r="2971" spans="1:3" x14ac:dyDescent="0.2">
      <c r="A2971" s="333">
        <v>39003011500</v>
      </c>
      <c r="B2971" t="s">
        <v>39</v>
      </c>
      <c r="C2971" s="341" t="s">
        <v>5334</v>
      </c>
    </row>
    <row r="2972" spans="1:3" x14ac:dyDescent="0.2">
      <c r="A2972" s="333">
        <v>39003011600</v>
      </c>
      <c r="B2972" t="s">
        <v>40</v>
      </c>
      <c r="C2972" s="341" t="s">
        <v>5334</v>
      </c>
    </row>
    <row r="2973" spans="1:3" x14ac:dyDescent="0.2">
      <c r="A2973" s="333">
        <v>39003011800</v>
      </c>
      <c r="B2973" t="s">
        <v>41</v>
      </c>
      <c r="C2973" s="341" t="s">
        <v>5334</v>
      </c>
    </row>
    <row r="2974" spans="1:3" x14ac:dyDescent="0.2">
      <c r="A2974" s="333">
        <v>39003011900</v>
      </c>
      <c r="B2974" t="s">
        <v>42</v>
      </c>
      <c r="C2974" s="341" t="s">
        <v>5334</v>
      </c>
    </row>
    <row r="2975" spans="1:3" x14ac:dyDescent="0.2">
      <c r="A2975" s="333">
        <v>39003012000</v>
      </c>
      <c r="B2975" t="s">
        <v>43</v>
      </c>
      <c r="C2975" s="341" t="s">
        <v>5334</v>
      </c>
    </row>
    <row r="2976" spans="1:3" x14ac:dyDescent="0.2">
      <c r="A2976" s="333">
        <v>39003012100</v>
      </c>
      <c r="B2976" t="s">
        <v>44</v>
      </c>
      <c r="C2976" s="341" t="s">
        <v>5334</v>
      </c>
    </row>
    <row r="2977" spans="1:3" x14ac:dyDescent="0.2">
      <c r="A2977" s="333">
        <v>39003012200</v>
      </c>
      <c r="B2977" t="s">
        <v>45</v>
      </c>
      <c r="C2977" s="341" t="s">
        <v>4330</v>
      </c>
    </row>
    <row r="2978" spans="1:3" x14ac:dyDescent="0.2">
      <c r="A2978" s="333">
        <v>39003012300</v>
      </c>
      <c r="B2978" t="s">
        <v>46</v>
      </c>
      <c r="C2978" s="341" t="s">
        <v>5334</v>
      </c>
    </row>
    <row r="2979" spans="1:3" x14ac:dyDescent="0.2">
      <c r="A2979" s="333">
        <v>39003012400</v>
      </c>
      <c r="B2979" t="s">
        <v>47</v>
      </c>
      <c r="C2979" s="341" t="s">
        <v>4330</v>
      </c>
    </row>
    <row r="2980" spans="1:3" x14ac:dyDescent="0.2">
      <c r="A2980" s="333">
        <v>39003012600</v>
      </c>
      <c r="B2980" t="s">
        <v>48</v>
      </c>
      <c r="C2980" s="341" t="s">
        <v>5334</v>
      </c>
    </row>
    <row r="2981" spans="1:3" x14ac:dyDescent="0.2">
      <c r="A2981" s="333">
        <v>39003012700</v>
      </c>
      <c r="B2981" t="s">
        <v>49</v>
      </c>
      <c r="C2981" s="341" t="s">
        <v>4330</v>
      </c>
    </row>
    <row r="2982" spans="1:3" x14ac:dyDescent="0.2">
      <c r="A2982" s="333">
        <v>39003012900</v>
      </c>
      <c r="B2982" t="s">
        <v>50</v>
      </c>
      <c r="C2982" s="341" t="s">
        <v>4330</v>
      </c>
    </row>
    <row r="2983" spans="1:3" x14ac:dyDescent="0.2">
      <c r="A2983" s="333">
        <v>39003013000</v>
      </c>
      <c r="B2983" t="s">
        <v>51</v>
      </c>
      <c r="C2983" s="341" t="s">
        <v>5334</v>
      </c>
    </row>
    <row r="2984" spans="1:3" x14ac:dyDescent="0.2">
      <c r="A2984" s="333">
        <v>39003013100</v>
      </c>
      <c r="B2984" t="s">
        <v>52</v>
      </c>
      <c r="C2984" s="341" t="s">
        <v>5334</v>
      </c>
    </row>
    <row r="2985" spans="1:3" x14ac:dyDescent="0.2">
      <c r="A2985" s="333">
        <v>39003013200</v>
      </c>
      <c r="B2985" t="s">
        <v>53</v>
      </c>
      <c r="C2985" s="341" t="s">
        <v>5334</v>
      </c>
    </row>
    <row r="2986" spans="1:3" x14ac:dyDescent="0.2">
      <c r="A2986" s="333">
        <v>39003013300</v>
      </c>
      <c r="B2986" t="s">
        <v>54</v>
      </c>
      <c r="C2986" s="341" t="s">
        <v>5334</v>
      </c>
    </row>
    <row r="2987" spans="1:3" x14ac:dyDescent="0.2">
      <c r="A2987" s="333">
        <v>39003013400</v>
      </c>
      <c r="B2987" t="s">
        <v>55</v>
      </c>
      <c r="C2987" s="341" t="s">
        <v>4330</v>
      </c>
    </row>
    <row r="2988" spans="1:3" x14ac:dyDescent="0.2">
      <c r="A2988" s="333">
        <v>39003013600</v>
      </c>
      <c r="B2988" t="s">
        <v>56</v>
      </c>
      <c r="C2988" s="341" t="s">
        <v>4330</v>
      </c>
    </row>
    <row r="2989" spans="1:3" x14ac:dyDescent="0.2">
      <c r="A2989" s="333">
        <v>39003013700</v>
      </c>
      <c r="B2989" t="s">
        <v>57</v>
      </c>
      <c r="C2989" s="341" t="s">
        <v>4330</v>
      </c>
    </row>
    <row r="2990" spans="1:3" x14ac:dyDescent="0.2">
      <c r="A2990" s="333">
        <v>39003013800</v>
      </c>
      <c r="B2990" t="s">
        <v>58</v>
      </c>
      <c r="C2990" s="341" t="s">
        <v>4330</v>
      </c>
    </row>
    <row r="2991" spans="1:3" x14ac:dyDescent="0.2">
      <c r="A2991" s="333">
        <v>39003013900</v>
      </c>
      <c r="B2991" t="s">
        <v>59</v>
      </c>
      <c r="C2991" s="341" t="s">
        <v>5334</v>
      </c>
    </row>
    <row r="2992" spans="1:3" x14ac:dyDescent="0.2">
      <c r="A2992" s="333">
        <v>39003014000</v>
      </c>
      <c r="B2992" t="s">
        <v>60</v>
      </c>
      <c r="C2992" s="341" t="s">
        <v>5334</v>
      </c>
    </row>
    <row r="2993" spans="1:3" x14ac:dyDescent="0.2">
      <c r="A2993" s="333">
        <v>39003014100</v>
      </c>
      <c r="B2993" t="s">
        <v>61</v>
      </c>
      <c r="C2993" s="341" t="s">
        <v>4330</v>
      </c>
    </row>
    <row r="2994" spans="1:3" x14ac:dyDescent="0.2">
      <c r="A2994" s="333">
        <v>39005970101</v>
      </c>
      <c r="B2994" t="s">
        <v>5341</v>
      </c>
      <c r="C2994" s="341" t="s">
        <v>5334</v>
      </c>
    </row>
    <row r="2995" spans="1:3" x14ac:dyDescent="0.2">
      <c r="A2995" s="333">
        <v>39005970102</v>
      </c>
      <c r="B2995" t="s">
        <v>5342</v>
      </c>
      <c r="C2995" s="341" t="s">
        <v>5334</v>
      </c>
    </row>
    <row r="2996" spans="1:3" x14ac:dyDescent="0.2">
      <c r="A2996" s="333">
        <v>39005970200</v>
      </c>
      <c r="B2996" t="s">
        <v>63</v>
      </c>
      <c r="C2996" s="341" t="s">
        <v>5334</v>
      </c>
    </row>
    <row r="2997" spans="1:3" x14ac:dyDescent="0.2">
      <c r="A2997" s="333">
        <v>39005970300</v>
      </c>
      <c r="B2997" t="s">
        <v>64</v>
      </c>
      <c r="C2997" s="341" t="s">
        <v>5334</v>
      </c>
    </row>
    <row r="2998" spans="1:3" x14ac:dyDescent="0.2">
      <c r="A2998" s="333">
        <v>39005970400</v>
      </c>
      <c r="B2998" t="s">
        <v>65</v>
      </c>
      <c r="C2998" s="341" t="s">
        <v>5334</v>
      </c>
    </row>
    <row r="2999" spans="1:3" x14ac:dyDescent="0.2">
      <c r="A2999" s="333">
        <v>39005970500</v>
      </c>
      <c r="B2999" t="s">
        <v>66</v>
      </c>
      <c r="C2999" s="341" t="s">
        <v>5334</v>
      </c>
    </row>
    <row r="3000" spans="1:3" x14ac:dyDescent="0.2">
      <c r="A3000" s="333">
        <v>39005970600</v>
      </c>
      <c r="B3000" t="s">
        <v>67</v>
      </c>
      <c r="C3000" s="341" t="s">
        <v>5334</v>
      </c>
    </row>
    <row r="3001" spans="1:3" x14ac:dyDescent="0.2">
      <c r="A3001" s="333">
        <v>39005970700</v>
      </c>
      <c r="B3001" t="s">
        <v>68</v>
      </c>
      <c r="C3001" s="341" t="s">
        <v>5334</v>
      </c>
    </row>
    <row r="3002" spans="1:3" x14ac:dyDescent="0.2">
      <c r="A3002" s="333">
        <v>39005970800</v>
      </c>
      <c r="B3002" t="s">
        <v>69</v>
      </c>
      <c r="C3002" s="341" t="s">
        <v>5334</v>
      </c>
    </row>
    <row r="3003" spans="1:3" x14ac:dyDescent="0.2">
      <c r="A3003" s="333">
        <v>39005970900</v>
      </c>
      <c r="B3003" t="s">
        <v>70</v>
      </c>
      <c r="C3003" s="341" t="s">
        <v>5334</v>
      </c>
    </row>
    <row r="3004" spans="1:3" x14ac:dyDescent="0.2">
      <c r="A3004" s="333">
        <v>39005971000</v>
      </c>
      <c r="B3004" t="s">
        <v>71</v>
      </c>
      <c r="C3004" s="341" t="s">
        <v>5334</v>
      </c>
    </row>
    <row r="3005" spans="1:3" x14ac:dyDescent="0.2">
      <c r="A3005" s="333">
        <v>39005971100</v>
      </c>
      <c r="B3005" t="s">
        <v>72</v>
      </c>
      <c r="C3005" s="341" t="s">
        <v>5334</v>
      </c>
    </row>
    <row r="3006" spans="1:3" x14ac:dyDescent="0.2">
      <c r="A3006" s="333">
        <v>39007000101</v>
      </c>
      <c r="B3006" t="s">
        <v>73</v>
      </c>
      <c r="C3006" s="341" t="s">
        <v>5334</v>
      </c>
    </row>
    <row r="3007" spans="1:3" x14ac:dyDescent="0.2">
      <c r="A3007" s="333">
        <v>39007000102</v>
      </c>
      <c r="B3007" t="s">
        <v>74</v>
      </c>
      <c r="C3007" s="341" t="s">
        <v>5334</v>
      </c>
    </row>
    <row r="3008" spans="1:3" x14ac:dyDescent="0.2">
      <c r="A3008" s="333">
        <v>39007000103</v>
      </c>
      <c r="B3008" t="s">
        <v>75</v>
      </c>
      <c r="C3008" s="341" t="s">
        <v>4330</v>
      </c>
    </row>
    <row r="3009" spans="1:3" x14ac:dyDescent="0.2">
      <c r="A3009" s="333">
        <v>39007000200</v>
      </c>
      <c r="B3009" t="s">
        <v>76</v>
      </c>
      <c r="C3009" s="341" t="s">
        <v>5334</v>
      </c>
    </row>
    <row r="3010" spans="1:3" x14ac:dyDescent="0.2">
      <c r="A3010" s="333">
        <v>39007000300</v>
      </c>
      <c r="B3010" t="s">
        <v>77</v>
      </c>
      <c r="C3010" s="341" t="s">
        <v>5334</v>
      </c>
    </row>
    <row r="3011" spans="1:3" x14ac:dyDescent="0.2">
      <c r="A3011" s="333">
        <v>39007000400</v>
      </c>
      <c r="B3011" t="s">
        <v>78</v>
      </c>
      <c r="C3011" s="341" t="s">
        <v>4330</v>
      </c>
    </row>
    <row r="3012" spans="1:3" x14ac:dyDescent="0.2">
      <c r="A3012" s="333">
        <v>39007000500</v>
      </c>
      <c r="B3012" t="s">
        <v>79</v>
      </c>
      <c r="C3012" s="341" t="s">
        <v>5334</v>
      </c>
    </row>
    <row r="3013" spans="1:3" x14ac:dyDescent="0.2">
      <c r="A3013" s="333">
        <v>39007000601</v>
      </c>
      <c r="B3013" t="s">
        <v>80</v>
      </c>
      <c r="C3013" s="341" t="s">
        <v>4330</v>
      </c>
    </row>
    <row r="3014" spans="1:3" x14ac:dyDescent="0.2">
      <c r="A3014" s="333">
        <v>39007000602</v>
      </c>
      <c r="B3014" t="s">
        <v>81</v>
      </c>
      <c r="C3014" s="341" t="s">
        <v>5334</v>
      </c>
    </row>
    <row r="3015" spans="1:3" x14ac:dyDescent="0.2">
      <c r="A3015" s="333">
        <v>39007000603</v>
      </c>
      <c r="B3015" t="s">
        <v>82</v>
      </c>
      <c r="C3015" s="341" t="s">
        <v>5334</v>
      </c>
    </row>
    <row r="3016" spans="1:3" x14ac:dyDescent="0.2">
      <c r="A3016" s="333">
        <v>39007000701</v>
      </c>
      <c r="B3016" t="s">
        <v>83</v>
      </c>
      <c r="C3016" s="341" t="s">
        <v>4330</v>
      </c>
    </row>
    <row r="3017" spans="1:3" x14ac:dyDescent="0.2">
      <c r="A3017" s="333">
        <v>39007000702</v>
      </c>
      <c r="B3017" t="s">
        <v>84</v>
      </c>
      <c r="C3017" s="341" t="s">
        <v>5334</v>
      </c>
    </row>
    <row r="3018" spans="1:3" x14ac:dyDescent="0.2">
      <c r="A3018" s="333">
        <v>39007000703</v>
      </c>
      <c r="B3018" t="s">
        <v>85</v>
      </c>
      <c r="C3018" s="341" t="s">
        <v>4330</v>
      </c>
    </row>
    <row r="3019" spans="1:3" x14ac:dyDescent="0.2">
      <c r="A3019" s="333">
        <v>39007000704</v>
      </c>
      <c r="B3019" t="s">
        <v>86</v>
      </c>
      <c r="C3019" s="341" t="s">
        <v>5334</v>
      </c>
    </row>
    <row r="3020" spans="1:3" x14ac:dyDescent="0.2">
      <c r="A3020" s="333">
        <v>39007000801</v>
      </c>
      <c r="B3020" t="s">
        <v>87</v>
      </c>
      <c r="C3020" s="341" t="s">
        <v>5334</v>
      </c>
    </row>
    <row r="3021" spans="1:3" x14ac:dyDescent="0.2">
      <c r="A3021" s="333">
        <v>39007000802</v>
      </c>
      <c r="B3021" t="s">
        <v>88</v>
      </c>
      <c r="C3021" s="341" t="s">
        <v>5334</v>
      </c>
    </row>
    <row r="3022" spans="1:3" x14ac:dyDescent="0.2">
      <c r="A3022" s="333">
        <v>39007000900</v>
      </c>
      <c r="B3022" t="s">
        <v>89</v>
      </c>
      <c r="C3022" s="341" t="s">
        <v>5334</v>
      </c>
    </row>
    <row r="3023" spans="1:3" x14ac:dyDescent="0.2">
      <c r="A3023" s="333">
        <v>39007001001</v>
      </c>
      <c r="B3023" t="s">
        <v>90</v>
      </c>
      <c r="C3023" s="341" t="s">
        <v>5334</v>
      </c>
    </row>
    <row r="3024" spans="1:3" x14ac:dyDescent="0.2">
      <c r="A3024" s="333">
        <v>39007001002</v>
      </c>
      <c r="B3024" t="s">
        <v>91</v>
      </c>
      <c r="C3024" s="341" t="s">
        <v>5334</v>
      </c>
    </row>
    <row r="3025" spans="1:3" x14ac:dyDescent="0.2">
      <c r="A3025" s="333">
        <v>39007001101</v>
      </c>
      <c r="B3025" t="s">
        <v>92</v>
      </c>
      <c r="C3025" s="341" t="s">
        <v>5334</v>
      </c>
    </row>
    <row r="3026" spans="1:3" x14ac:dyDescent="0.2">
      <c r="A3026" s="333">
        <v>39007001102</v>
      </c>
      <c r="B3026" t="s">
        <v>93</v>
      </c>
      <c r="C3026" s="341" t="s">
        <v>5334</v>
      </c>
    </row>
    <row r="3027" spans="1:3" x14ac:dyDescent="0.2">
      <c r="A3027" s="333">
        <v>39007001201</v>
      </c>
      <c r="B3027" t="s">
        <v>5343</v>
      </c>
      <c r="C3027" s="341" t="s">
        <v>5334</v>
      </c>
    </row>
    <row r="3028" spans="1:3" x14ac:dyDescent="0.2">
      <c r="A3028" s="333">
        <v>39007001202</v>
      </c>
      <c r="B3028" t="s">
        <v>5344</v>
      </c>
      <c r="C3028" s="341" t="s">
        <v>5334</v>
      </c>
    </row>
    <row r="3029" spans="1:3" x14ac:dyDescent="0.2">
      <c r="A3029" s="333">
        <v>39007001301</v>
      </c>
      <c r="B3029" t="s">
        <v>95</v>
      </c>
      <c r="C3029" s="341" t="s">
        <v>5334</v>
      </c>
    </row>
    <row r="3030" spans="1:3" x14ac:dyDescent="0.2">
      <c r="A3030" s="333">
        <v>39007001303</v>
      </c>
      <c r="B3030" t="s">
        <v>5345</v>
      </c>
      <c r="C3030" s="341" t="s">
        <v>4330</v>
      </c>
    </row>
    <row r="3031" spans="1:3" x14ac:dyDescent="0.2">
      <c r="A3031" s="333">
        <v>39007001304</v>
      </c>
      <c r="B3031" t="s">
        <v>5346</v>
      </c>
      <c r="C3031" s="341" t="s">
        <v>5334</v>
      </c>
    </row>
    <row r="3032" spans="1:3" x14ac:dyDescent="0.2">
      <c r="A3032" s="333">
        <v>39007001401</v>
      </c>
      <c r="B3032" t="s">
        <v>5347</v>
      </c>
      <c r="C3032" s="341" t="s">
        <v>5334</v>
      </c>
    </row>
    <row r="3033" spans="1:3" x14ac:dyDescent="0.2">
      <c r="A3033" s="333">
        <v>39007001402</v>
      </c>
      <c r="B3033" t="s">
        <v>5348</v>
      </c>
      <c r="C3033" s="341" t="s">
        <v>5334</v>
      </c>
    </row>
    <row r="3034" spans="1:3" x14ac:dyDescent="0.2">
      <c r="A3034" s="333">
        <v>39007990000</v>
      </c>
      <c r="B3034" t="s">
        <v>5349</v>
      </c>
      <c r="C3034" s="341" t="s">
        <v>5334</v>
      </c>
    </row>
    <row r="3035" spans="1:3" x14ac:dyDescent="0.2">
      <c r="A3035" s="333">
        <v>39009972600</v>
      </c>
      <c r="B3035" t="s">
        <v>98</v>
      </c>
      <c r="C3035" s="341" t="s">
        <v>4330</v>
      </c>
    </row>
    <row r="3036" spans="1:3" x14ac:dyDescent="0.2">
      <c r="A3036" s="333">
        <v>39009972700</v>
      </c>
      <c r="B3036" t="s">
        <v>99</v>
      </c>
      <c r="C3036" s="341" t="s">
        <v>4330</v>
      </c>
    </row>
    <row r="3037" spans="1:3" x14ac:dyDescent="0.2">
      <c r="A3037" s="333">
        <v>39009972800</v>
      </c>
      <c r="B3037" t="s">
        <v>100</v>
      </c>
      <c r="C3037" s="341" t="s">
        <v>4330</v>
      </c>
    </row>
    <row r="3038" spans="1:3" x14ac:dyDescent="0.2">
      <c r="A3038" s="333">
        <v>39009972900</v>
      </c>
      <c r="B3038" t="s">
        <v>101</v>
      </c>
      <c r="C3038" s="341" t="s">
        <v>4330</v>
      </c>
    </row>
    <row r="3039" spans="1:3" x14ac:dyDescent="0.2">
      <c r="A3039" s="333">
        <v>39009973000</v>
      </c>
      <c r="B3039" t="s">
        <v>102</v>
      </c>
      <c r="C3039" s="341" t="s">
        <v>5334</v>
      </c>
    </row>
    <row r="3040" spans="1:3" x14ac:dyDescent="0.2">
      <c r="A3040" s="333">
        <v>39009973101</v>
      </c>
      <c r="B3040" t="s">
        <v>103</v>
      </c>
      <c r="C3040" s="341" t="s">
        <v>4330</v>
      </c>
    </row>
    <row r="3041" spans="1:3" x14ac:dyDescent="0.2">
      <c r="A3041" s="333">
        <v>39009973200</v>
      </c>
      <c r="B3041" t="s">
        <v>104</v>
      </c>
      <c r="C3041" s="341" t="s">
        <v>5334</v>
      </c>
    </row>
    <row r="3042" spans="1:3" x14ac:dyDescent="0.2">
      <c r="A3042" s="333">
        <v>39009973300</v>
      </c>
      <c r="B3042" t="s">
        <v>105</v>
      </c>
      <c r="C3042" s="341" t="s">
        <v>5334</v>
      </c>
    </row>
    <row r="3043" spans="1:3" x14ac:dyDescent="0.2">
      <c r="A3043" s="333">
        <v>39009973400</v>
      </c>
      <c r="B3043" t="s">
        <v>106</v>
      </c>
      <c r="C3043" s="341" t="s">
        <v>4330</v>
      </c>
    </row>
    <row r="3044" spans="1:3" x14ac:dyDescent="0.2">
      <c r="A3044" s="333">
        <v>39009973500</v>
      </c>
      <c r="B3044" t="s">
        <v>107</v>
      </c>
      <c r="C3044" s="341" t="s">
        <v>5334</v>
      </c>
    </row>
    <row r="3045" spans="1:3" x14ac:dyDescent="0.2">
      <c r="A3045" s="333">
        <v>39009973600</v>
      </c>
      <c r="B3045" t="s">
        <v>108</v>
      </c>
      <c r="C3045" s="341" t="s">
        <v>5334</v>
      </c>
    </row>
    <row r="3046" spans="1:3" x14ac:dyDescent="0.2">
      <c r="A3046" s="333">
        <v>39009973700</v>
      </c>
      <c r="B3046" t="s">
        <v>109</v>
      </c>
      <c r="C3046" s="341" t="s">
        <v>5334</v>
      </c>
    </row>
    <row r="3047" spans="1:3" x14ac:dyDescent="0.2">
      <c r="A3047" s="333">
        <v>39009973800</v>
      </c>
      <c r="B3047" t="s">
        <v>110</v>
      </c>
      <c r="C3047" s="341" t="s">
        <v>5334</v>
      </c>
    </row>
    <row r="3048" spans="1:3" x14ac:dyDescent="0.2">
      <c r="A3048" s="333">
        <v>39009973901</v>
      </c>
      <c r="B3048" t="s">
        <v>111</v>
      </c>
      <c r="C3048" s="341" t="s">
        <v>4330</v>
      </c>
    </row>
    <row r="3049" spans="1:3" x14ac:dyDescent="0.2">
      <c r="A3049" s="333">
        <v>39009973902</v>
      </c>
      <c r="B3049" t="s">
        <v>112</v>
      </c>
      <c r="C3049" s="341" t="s">
        <v>4330</v>
      </c>
    </row>
    <row r="3050" spans="1:3" x14ac:dyDescent="0.2">
      <c r="A3050" s="333">
        <v>39011040100</v>
      </c>
      <c r="B3050" t="s">
        <v>113</v>
      </c>
      <c r="C3050" s="341" t="s">
        <v>5334</v>
      </c>
    </row>
    <row r="3051" spans="1:3" x14ac:dyDescent="0.2">
      <c r="A3051" s="333">
        <v>39011040200</v>
      </c>
      <c r="B3051" t="s">
        <v>114</v>
      </c>
      <c r="C3051" s="341" t="s">
        <v>5334</v>
      </c>
    </row>
    <row r="3052" spans="1:3" x14ac:dyDescent="0.2">
      <c r="A3052" s="333">
        <v>39011040300</v>
      </c>
      <c r="B3052" t="s">
        <v>115</v>
      </c>
      <c r="C3052" s="341" t="s">
        <v>5334</v>
      </c>
    </row>
    <row r="3053" spans="1:3" x14ac:dyDescent="0.2">
      <c r="A3053" s="333">
        <v>39011040400</v>
      </c>
      <c r="B3053" t="s">
        <v>116</v>
      </c>
      <c r="C3053" s="341" t="s">
        <v>5334</v>
      </c>
    </row>
    <row r="3054" spans="1:3" x14ac:dyDescent="0.2">
      <c r="A3054" s="333">
        <v>39011040500</v>
      </c>
      <c r="B3054" t="s">
        <v>117</v>
      </c>
      <c r="C3054" s="341" t="s">
        <v>5334</v>
      </c>
    </row>
    <row r="3055" spans="1:3" x14ac:dyDescent="0.2">
      <c r="A3055" s="333">
        <v>39011040600</v>
      </c>
      <c r="B3055" t="s">
        <v>118</v>
      </c>
      <c r="C3055" s="341" t="s">
        <v>5334</v>
      </c>
    </row>
    <row r="3056" spans="1:3" x14ac:dyDescent="0.2">
      <c r="A3056" s="333">
        <v>39011040900</v>
      </c>
      <c r="B3056" t="s">
        <v>119</v>
      </c>
      <c r="C3056" s="341" t="s">
        <v>5334</v>
      </c>
    </row>
    <row r="3057" spans="1:3" x14ac:dyDescent="0.2">
      <c r="A3057" s="333">
        <v>39011041000</v>
      </c>
      <c r="B3057" t="s">
        <v>120</v>
      </c>
      <c r="C3057" s="341" t="s">
        <v>5334</v>
      </c>
    </row>
    <row r="3058" spans="1:3" x14ac:dyDescent="0.2">
      <c r="A3058" s="333">
        <v>39011041100</v>
      </c>
      <c r="B3058" t="s">
        <v>121</v>
      </c>
      <c r="C3058" s="341" t="s">
        <v>5334</v>
      </c>
    </row>
    <row r="3059" spans="1:3" x14ac:dyDescent="0.2">
      <c r="A3059" s="333">
        <v>39011041201</v>
      </c>
      <c r="B3059" t="s">
        <v>122</v>
      </c>
      <c r="C3059" s="341" t="s">
        <v>5334</v>
      </c>
    </row>
    <row r="3060" spans="1:3" x14ac:dyDescent="0.2">
      <c r="A3060" s="333">
        <v>39011041202</v>
      </c>
      <c r="B3060" t="s">
        <v>123</v>
      </c>
      <c r="C3060" s="341" t="s">
        <v>5334</v>
      </c>
    </row>
    <row r="3061" spans="1:3" x14ac:dyDescent="0.2">
      <c r="A3061" s="333">
        <v>39013010100</v>
      </c>
      <c r="B3061" t="s">
        <v>124</v>
      </c>
      <c r="C3061" s="341" t="s">
        <v>5334</v>
      </c>
    </row>
    <row r="3062" spans="1:3" x14ac:dyDescent="0.2">
      <c r="A3062" s="333">
        <v>39013010200</v>
      </c>
      <c r="B3062" t="s">
        <v>125</v>
      </c>
      <c r="C3062" s="341" t="s">
        <v>5334</v>
      </c>
    </row>
    <row r="3063" spans="1:3" x14ac:dyDescent="0.2">
      <c r="A3063" s="333">
        <v>39013010300</v>
      </c>
      <c r="B3063" t="s">
        <v>126</v>
      </c>
      <c r="C3063" s="341" t="s">
        <v>5334</v>
      </c>
    </row>
    <row r="3064" spans="1:3" x14ac:dyDescent="0.2">
      <c r="A3064" s="333">
        <v>39013010600</v>
      </c>
      <c r="B3064" t="s">
        <v>127</v>
      </c>
      <c r="C3064" s="341" t="s">
        <v>5334</v>
      </c>
    </row>
    <row r="3065" spans="1:3" x14ac:dyDescent="0.2">
      <c r="A3065" s="333">
        <v>39013010700</v>
      </c>
      <c r="B3065" t="s">
        <v>128</v>
      </c>
      <c r="C3065" s="341" t="s">
        <v>5334</v>
      </c>
    </row>
    <row r="3066" spans="1:3" x14ac:dyDescent="0.2">
      <c r="A3066" s="333">
        <v>39013010802</v>
      </c>
      <c r="B3066" t="s">
        <v>129</v>
      </c>
      <c r="C3066" s="341" t="s">
        <v>5334</v>
      </c>
    </row>
    <row r="3067" spans="1:3" x14ac:dyDescent="0.2">
      <c r="A3067" s="333">
        <v>39013010901</v>
      </c>
      <c r="B3067" t="s">
        <v>5350</v>
      </c>
      <c r="C3067" s="341" t="s">
        <v>5334</v>
      </c>
    </row>
    <row r="3068" spans="1:3" x14ac:dyDescent="0.2">
      <c r="A3068" s="333">
        <v>39013010902</v>
      </c>
      <c r="B3068" t="s">
        <v>5351</v>
      </c>
      <c r="C3068" s="341" t="s">
        <v>5334</v>
      </c>
    </row>
    <row r="3069" spans="1:3" x14ac:dyDescent="0.2">
      <c r="A3069" s="333">
        <v>39013011000</v>
      </c>
      <c r="B3069" t="s">
        <v>131</v>
      </c>
      <c r="C3069" s="341" t="s">
        <v>5334</v>
      </c>
    </row>
    <row r="3070" spans="1:3" x14ac:dyDescent="0.2">
      <c r="A3070" s="333">
        <v>39013011200</v>
      </c>
      <c r="B3070" t="s">
        <v>132</v>
      </c>
      <c r="C3070" s="341" t="s">
        <v>5334</v>
      </c>
    </row>
    <row r="3071" spans="1:3" x14ac:dyDescent="0.2">
      <c r="A3071" s="333">
        <v>39013011300</v>
      </c>
      <c r="B3071" t="s">
        <v>133</v>
      </c>
      <c r="C3071" s="341" t="s">
        <v>5334</v>
      </c>
    </row>
    <row r="3072" spans="1:3" x14ac:dyDescent="0.2">
      <c r="A3072" s="333">
        <v>39013011400</v>
      </c>
      <c r="B3072" t="s">
        <v>134</v>
      </c>
      <c r="C3072" s="341" t="s">
        <v>5334</v>
      </c>
    </row>
    <row r="3073" spans="1:3" x14ac:dyDescent="0.2">
      <c r="A3073" s="333">
        <v>39013011500</v>
      </c>
      <c r="B3073" t="s">
        <v>135</v>
      </c>
      <c r="C3073" s="341" t="s">
        <v>5334</v>
      </c>
    </row>
    <row r="3074" spans="1:3" x14ac:dyDescent="0.2">
      <c r="A3074" s="333">
        <v>39013011600</v>
      </c>
      <c r="B3074" t="s">
        <v>136</v>
      </c>
      <c r="C3074" s="341" t="s">
        <v>4330</v>
      </c>
    </row>
    <row r="3075" spans="1:3" x14ac:dyDescent="0.2">
      <c r="A3075" s="333">
        <v>39013011700</v>
      </c>
      <c r="B3075" t="s">
        <v>137</v>
      </c>
      <c r="C3075" s="341" t="s">
        <v>4330</v>
      </c>
    </row>
    <row r="3076" spans="1:3" x14ac:dyDescent="0.2">
      <c r="A3076" s="333">
        <v>39013011900</v>
      </c>
      <c r="B3076" t="s">
        <v>138</v>
      </c>
      <c r="C3076" s="341" t="s">
        <v>5334</v>
      </c>
    </row>
    <row r="3077" spans="1:3" x14ac:dyDescent="0.2">
      <c r="A3077" s="333">
        <v>39013012000</v>
      </c>
      <c r="B3077" t="s">
        <v>139</v>
      </c>
      <c r="C3077" s="341" t="s">
        <v>5334</v>
      </c>
    </row>
    <row r="3078" spans="1:3" x14ac:dyDescent="0.2">
      <c r="A3078" s="333">
        <v>39013012100</v>
      </c>
      <c r="B3078" t="s">
        <v>140</v>
      </c>
      <c r="C3078" s="341" t="s">
        <v>4330</v>
      </c>
    </row>
    <row r="3079" spans="1:3" x14ac:dyDescent="0.2">
      <c r="A3079" s="333">
        <v>39013012201</v>
      </c>
      <c r="B3079" t="s">
        <v>5352</v>
      </c>
      <c r="C3079" s="341" t="s">
        <v>5334</v>
      </c>
    </row>
    <row r="3080" spans="1:3" x14ac:dyDescent="0.2">
      <c r="A3080" s="333">
        <v>39013012202</v>
      </c>
      <c r="B3080" t="s">
        <v>5353</v>
      </c>
      <c r="C3080" s="341" t="s">
        <v>5334</v>
      </c>
    </row>
    <row r="3081" spans="1:3" x14ac:dyDescent="0.2">
      <c r="A3081" s="333">
        <v>39013012300</v>
      </c>
      <c r="B3081" t="s">
        <v>142</v>
      </c>
      <c r="C3081" s="341" t="s">
        <v>5334</v>
      </c>
    </row>
    <row r="3082" spans="1:3" x14ac:dyDescent="0.2">
      <c r="A3082" s="333">
        <v>39013012400</v>
      </c>
      <c r="B3082" t="s">
        <v>143</v>
      </c>
      <c r="C3082" s="341" t="s">
        <v>5334</v>
      </c>
    </row>
    <row r="3083" spans="1:3" x14ac:dyDescent="0.2">
      <c r="A3083" s="333">
        <v>39015951201</v>
      </c>
      <c r="B3083" t="s">
        <v>144</v>
      </c>
      <c r="C3083" s="341" t="s">
        <v>5334</v>
      </c>
    </row>
    <row r="3084" spans="1:3" x14ac:dyDescent="0.2">
      <c r="A3084" s="333">
        <v>39015951202</v>
      </c>
      <c r="B3084" t="s">
        <v>145</v>
      </c>
      <c r="C3084" s="341" t="s">
        <v>5334</v>
      </c>
    </row>
    <row r="3085" spans="1:3" x14ac:dyDescent="0.2">
      <c r="A3085" s="333">
        <v>39015951301</v>
      </c>
      <c r="B3085" t="s">
        <v>5354</v>
      </c>
      <c r="C3085" s="341" t="s">
        <v>5334</v>
      </c>
    </row>
    <row r="3086" spans="1:3" x14ac:dyDescent="0.2">
      <c r="A3086" s="333">
        <v>39015951302</v>
      </c>
      <c r="B3086" t="s">
        <v>5355</v>
      </c>
      <c r="C3086" s="341" t="s">
        <v>5334</v>
      </c>
    </row>
    <row r="3087" spans="1:3" x14ac:dyDescent="0.2">
      <c r="A3087" s="333">
        <v>39015951400</v>
      </c>
      <c r="B3087" t="s">
        <v>147</v>
      </c>
      <c r="C3087" s="341" t="s">
        <v>5334</v>
      </c>
    </row>
    <row r="3088" spans="1:3" x14ac:dyDescent="0.2">
      <c r="A3088" s="333">
        <v>39015951500</v>
      </c>
      <c r="B3088" t="s">
        <v>148</v>
      </c>
      <c r="C3088" s="341" t="s">
        <v>5334</v>
      </c>
    </row>
    <row r="3089" spans="1:3" x14ac:dyDescent="0.2">
      <c r="A3089" s="333">
        <v>39015951600</v>
      </c>
      <c r="B3089" t="s">
        <v>149</v>
      </c>
      <c r="C3089" s="341" t="s">
        <v>5334</v>
      </c>
    </row>
    <row r="3090" spans="1:3" x14ac:dyDescent="0.2">
      <c r="A3090" s="333">
        <v>39015951700</v>
      </c>
      <c r="B3090" t="s">
        <v>150</v>
      </c>
      <c r="C3090" s="341" t="s">
        <v>5334</v>
      </c>
    </row>
    <row r="3091" spans="1:3" x14ac:dyDescent="0.2">
      <c r="A3091" s="333">
        <v>39015951800</v>
      </c>
      <c r="B3091" t="s">
        <v>151</v>
      </c>
      <c r="C3091" s="341" t="s">
        <v>4330</v>
      </c>
    </row>
    <row r="3092" spans="1:3" x14ac:dyDescent="0.2">
      <c r="A3092" s="333">
        <v>39015951900</v>
      </c>
      <c r="B3092" t="s">
        <v>152</v>
      </c>
      <c r="C3092" s="341" t="s">
        <v>5334</v>
      </c>
    </row>
    <row r="3093" spans="1:3" x14ac:dyDescent="0.2">
      <c r="A3093" s="333">
        <v>39017000100</v>
      </c>
      <c r="B3093" t="s">
        <v>153</v>
      </c>
      <c r="C3093" s="341" t="s">
        <v>5334</v>
      </c>
    </row>
    <row r="3094" spans="1:3" x14ac:dyDescent="0.2">
      <c r="A3094" s="333">
        <v>39017000200</v>
      </c>
      <c r="B3094" t="s">
        <v>154</v>
      </c>
      <c r="C3094" s="341" t="s">
        <v>4330</v>
      </c>
    </row>
    <row r="3095" spans="1:3" x14ac:dyDescent="0.2">
      <c r="A3095" s="333">
        <v>39017000300</v>
      </c>
      <c r="B3095" t="s">
        <v>155</v>
      </c>
      <c r="C3095" s="341" t="s">
        <v>4330</v>
      </c>
    </row>
    <row r="3096" spans="1:3" x14ac:dyDescent="0.2">
      <c r="A3096" s="333">
        <v>39017000400</v>
      </c>
      <c r="B3096" t="s">
        <v>156</v>
      </c>
      <c r="C3096" s="341" t="s">
        <v>4330</v>
      </c>
    </row>
    <row r="3097" spans="1:3" x14ac:dyDescent="0.2">
      <c r="A3097" s="333">
        <v>39017000500</v>
      </c>
      <c r="B3097" t="s">
        <v>157</v>
      </c>
      <c r="C3097" s="341" t="s">
        <v>4330</v>
      </c>
    </row>
    <row r="3098" spans="1:3" x14ac:dyDescent="0.2">
      <c r="A3098" s="333">
        <v>39017000600</v>
      </c>
      <c r="B3098" t="s">
        <v>158</v>
      </c>
      <c r="C3098" s="341" t="s">
        <v>4330</v>
      </c>
    </row>
    <row r="3099" spans="1:3" x14ac:dyDescent="0.2">
      <c r="A3099" s="333">
        <v>39017001001</v>
      </c>
      <c r="B3099" t="s">
        <v>159</v>
      </c>
      <c r="C3099" s="341" t="s">
        <v>5334</v>
      </c>
    </row>
    <row r="3100" spans="1:3" x14ac:dyDescent="0.2">
      <c r="A3100" s="333">
        <v>39017001002</v>
      </c>
      <c r="B3100" t="s">
        <v>160</v>
      </c>
      <c r="C3100" s="341" t="s">
        <v>5334</v>
      </c>
    </row>
    <row r="3101" spans="1:3" x14ac:dyDescent="0.2">
      <c r="A3101" s="333">
        <v>39017001100</v>
      </c>
      <c r="B3101" t="s">
        <v>161</v>
      </c>
      <c r="C3101" s="341" t="s">
        <v>4330</v>
      </c>
    </row>
    <row r="3102" spans="1:3" x14ac:dyDescent="0.2">
      <c r="A3102" s="333">
        <v>39017001300</v>
      </c>
      <c r="B3102" t="s">
        <v>162</v>
      </c>
      <c r="C3102" s="341" t="s">
        <v>5334</v>
      </c>
    </row>
    <row r="3103" spans="1:3" x14ac:dyDescent="0.2">
      <c r="A3103" s="333">
        <v>39017010102</v>
      </c>
      <c r="B3103" t="s">
        <v>164</v>
      </c>
      <c r="C3103" s="341" t="s">
        <v>4330</v>
      </c>
    </row>
    <row r="3104" spans="1:3" x14ac:dyDescent="0.2">
      <c r="A3104" s="333">
        <v>39017010103</v>
      </c>
      <c r="B3104" t="s">
        <v>165</v>
      </c>
      <c r="C3104" s="341" t="s">
        <v>4330</v>
      </c>
    </row>
    <row r="3105" spans="1:3" x14ac:dyDescent="0.2">
      <c r="A3105" s="333">
        <v>39017010104</v>
      </c>
      <c r="B3105" t="s">
        <v>166</v>
      </c>
      <c r="C3105" s="341" t="s">
        <v>4330</v>
      </c>
    </row>
    <row r="3106" spans="1:3" x14ac:dyDescent="0.2">
      <c r="A3106" s="333">
        <v>39017010104</v>
      </c>
      <c r="B3106" t="s">
        <v>166</v>
      </c>
      <c r="C3106" s="341" t="s">
        <v>4330</v>
      </c>
    </row>
    <row r="3107" spans="1:3" x14ac:dyDescent="0.2">
      <c r="A3107" s="333">
        <v>39017010104</v>
      </c>
      <c r="B3107" t="s">
        <v>166</v>
      </c>
      <c r="C3107" s="341" t="s">
        <v>4330</v>
      </c>
    </row>
    <row r="3108" spans="1:3" x14ac:dyDescent="0.2">
      <c r="A3108" s="333">
        <v>39017010105</v>
      </c>
      <c r="B3108" t="s">
        <v>5356</v>
      </c>
      <c r="C3108" s="341" t="s">
        <v>5334</v>
      </c>
    </row>
    <row r="3109" spans="1:3" x14ac:dyDescent="0.2">
      <c r="A3109" s="333">
        <v>39017010106</v>
      </c>
      <c r="B3109" t="s">
        <v>5357</v>
      </c>
      <c r="C3109" s="341" t="s">
        <v>5334</v>
      </c>
    </row>
    <row r="3110" spans="1:3" x14ac:dyDescent="0.2">
      <c r="A3110" s="333">
        <v>39017010201</v>
      </c>
      <c r="B3110" t="s">
        <v>167</v>
      </c>
      <c r="C3110" s="341" t="s">
        <v>5334</v>
      </c>
    </row>
    <row r="3111" spans="1:3" x14ac:dyDescent="0.2">
      <c r="A3111" s="333">
        <v>39017010202</v>
      </c>
      <c r="B3111" t="s">
        <v>168</v>
      </c>
      <c r="C3111" s="341" t="s">
        <v>5334</v>
      </c>
    </row>
    <row r="3112" spans="1:3" x14ac:dyDescent="0.2">
      <c r="A3112" s="333">
        <v>39017010203</v>
      </c>
      <c r="B3112" t="s">
        <v>169</v>
      </c>
      <c r="C3112" s="341" t="s">
        <v>5334</v>
      </c>
    </row>
    <row r="3113" spans="1:3" x14ac:dyDescent="0.2">
      <c r="A3113" s="333">
        <v>39017010301</v>
      </c>
      <c r="B3113" t="s">
        <v>170</v>
      </c>
      <c r="C3113" s="341" t="s">
        <v>5334</v>
      </c>
    </row>
    <row r="3114" spans="1:3" x14ac:dyDescent="0.2">
      <c r="A3114" s="333">
        <v>39017010302</v>
      </c>
      <c r="B3114" t="s">
        <v>171</v>
      </c>
      <c r="C3114" s="341" t="s">
        <v>5334</v>
      </c>
    </row>
    <row r="3115" spans="1:3" x14ac:dyDescent="0.2">
      <c r="A3115" s="333">
        <v>39017010500</v>
      </c>
      <c r="B3115" t="s">
        <v>172</v>
      </c>
      <c r="C3115" s="341" t="s">
        <v>4330</v>
      </c>
    </row>
    <row r="3116" spans="1:3" x14ac:dyDescent="0.2">
      <c r="A3116" s="333">
        <v>39017010600</v>
      </c>
      <c r="B3116" t="s">
        <v>173</v>
      </c>
      <c r="C3116" s="341" t="s">
        <v>5334</v>
      </c>
    </row>
    <row r="3117" spans="1:3" x14ac:dyDescent="0.2">
      <c r="A3117" s="333">
        <v>39017010800</v>
      </c>
      <c r="B3117" t="s">
        <v>174</v>
      </c>
      <c r="C3117" s="341" t="s">
        <v>5334</v>
      </c>
    </row>
    <row r="3118" spans="1:3" x14ac:dyDescent="0.2">
      <c r="A3118" s="333">
        <v>39017010901</v>
      </c>
      <c r="B3118" t="s">
        <v>175</v>
      </c>
      <c r="C3118" s="341" t="s">
        <v>5334</v>
      </c>
    </row>
    <row r="3119" spans="1:3" x14ac:dyDescent="0.2">
      <c r="A3119" s="333">
        <v>39017010903</v>
      </c>
      <c r="B3119" t="s">
        <v>176</v>
      </c>
      <c r="C3119" s="341" t="s">
        <v>5334</v>
      </c>
    </row>
    <row r="3120" spans="1:3" x14ac:dyDescent="0.2">
      <c r="A3120" s="333">
        <v>39017010904</v>
      </c>
      <c r="B3120" t="s">
        <v>177</v>
      </c>
      <c r="C3120" s="341" t="s">
        <v>5334</v>
      </c>
    </row>
    <row r="3121" spans="1:3" x14ac:dyDescent="0.2">
      <c r="A3121" s="333">
        <v>39017010906</v>
      </c>
      <c r="B3121" t="s">
        <v>178</v>
      </c>
      <c r="C3121" s="341" t="s">
        <v>5334</v>
      </c>
    </row>
    <row r="3122" spans="1:3" x14ac:dyDescent="0.2">
      <c r="A3122" s="333">
        <v>39017010907</v>
      </c>
      <c r="B3122" t="s">
        <v>179</v>
      </c>
      <c r="C3122" s="341" t="s">
        <v>5334</v>
      </c>
    </row>
    <row r="3123" spans="1:3" x14ac:dyDescent="0.2">
      <c r="A3123" s="333">
        <v>39017010909</v>
      </c>
      <c r="B3123" t="s">
        <v>181</v>
      </c>
      <c r="C3123" s="341" t="s">
        <v>5334</v>
      </c>
    </row>
    <row r="3124" spans="1:3" x14ac:dyDescent="0.2">
      <c r="A3124" s="333">
        <v>39017010910</v>
      </c>
      <c r="B3124" t="s">
        <v>182</v>
      </c>
      <c r="C3124" s="341" t="s">
        <v>5334</v>
      </c>
    </row>
    <row r="3125" spans="1:3" x14ac:dyDescent="0.2">
      <c r="A3125" s="333">
        <v>39017010911</v>
      </c>
      <c r="B3125" t="s">
        <v>183</v>
      </c>
      <c r="C3125" s="341" t="s">
        <v>5334</v>
      </c>
    </row>
    <row r="3126" spans="1:3" x14ac:dyDescent="0.2">
      <c r="A3126" s="333">
        <v>39017010912</v>
      </c>
      <c r="B3126" t="s">
        <v>5358</v>
      </c>
      <c r="C3126" s="341" t="s">
        <v>5334</v>
      </c>
    </row>
    <row r="3127" spans="1:3" x14ac:dyDescent="0.2">
      <c r="A3127" s="333">
        <v>39017010913</v>
      </c>
      <c r="B3127" t="s">
        <v>5359</v>
      </c>
      <c r="C3127" s="341" t="s">
        <v>5334</v>
      </c>
    </row>
    <row r="3128" spans="1:3" x14ac:dyDescent="0.2">
      <c r="A3128" s="333">
        <v>39017011003</v>
      </c>
      <c r="B3128" t="s">
        <v>185</v>
      </c>
      <c r="C3128" s="341" t="s">
        <v>5334</v>
      </c>
    </row>
    <row r="3129" spans="1:3" x14ac:dyDescent="0.2">
      <c r="A3129" s="333">
        <v>39017011004</v>
      </c>
      <c r="B3129" t="s">
        <v>186</v>
      </c>
      <c r="C3129" s="341" t="s">
        <v>5334</v>
      </c>
    </row>
    <row r="3130" spans="1:3" x14ac:dyDescent="0.2">
      <c r="A3130" s="333">
        <v>39017011005</v>
      </c>
      <c r="B3130" t="s">
        <v>5360</v>
      </c>
      <c r="C3130" s="341" t="s">
        <v>5334</v>
      </c>
    </row>
    <row r="3131" spans="1:3" x14ac:dyDescent="0.2">
      <c r="A3131" s="333">
        <v>39017011006</v>
      </c>
      <c r="B3131" t="s">
        <v>5361</v>
      </c>
      <c r="C3131" s="341" t="s">
        <v>5334</v>
      </c>
    </row>
    <row r="3132" spans="1:3" x14ac:dyDescent="0.2">
      <c r="A3132" s="333">
        <v>39017011109</v>
      </c>
      <c r="B3132" t="s">
        <v>187</v>
      </c>
      <c r="C3132" s="341" t="s">
        <v>5334</v>
      </c>
    </row>
    <row r="3133" spans="1:3" x14ac:dyDescent="0.2">
      <c r="A3133" s="333">
        <v>39017011110</v>
      </c>
      <c r="B3133" t="s">
        <v>188</v>
      </c>
      <c r="C3133" s="341" t="s">
        <v>5334</v>
      </c>
    </row>
    <row r="3134" spans="1:3" x14ac:dyDescent="0.2">
      <c r="A3134" s="333">
        <v>39017011111</v>
      </c>
      <c r="B3134" t="s">
        <v>189</v>
      </c>
      <c r="C3134" s="341" t="s">
        <v>5334</v>
      </c>
    </row>
    <row r="3135" spans="1:3" x14ac:dyDescent="0.2">
      <c r="A3135" s="333">
        <v>39017011112</v>
      </c>
      <c r="B3135" t="s">
        <v>190</v>
      </c>
      <c r="C3135" s="341" t="s">
        <v>5334</v>
      </c>
    </row>
    <row r="3136" spans="1:3" x14ac:dyDescent="0.2">
      <c r="A3136" s="333">
        <v>39017011118</v>
      </c>
      <c r="B3136" t="s">
        <v>193</v>
      </c>
      <c r="C3136" s="341" t="s">
        <v>5334</v>
      </c>
    </row>
    <row r="3137" spans="1:3" x14ac:dyDescent="0.2">
      <c r="A3137" s="333">
        <v>39017011120</v>
      </c>
      <c r="B3137" t="s">
        <v>194</v>
      </c>
      <c r="C3137" s="341" t="s">
        <v>5334</v>
      </c>
    </row>
    <row r="3138" spans="1:3" x14ac:dyDescent="0.2">
      <c r="A3138" s="333">
        <v>39017011122</v>
      </c>
      <c r="B3138" t="s">
        <v>196</v>
      </c>
      <c r="C3138" s="341" t="s">
        <v>5334</v>
      </c>
    </row>
    <row r="3139" spans="1:3" x14ac:dyDescent="0.2">
      <c r="A3139" s="333">
        <v>39017011123</v>
      </c>
      <c r="B3139" t="s">
        <v>197</v>
      </c>
      <c r="C3139" s="341" t="s">
        <v>4330</v>
      </c>
    </row>
    <row r="3140" spans="1:3" x14ac:dyDescent="0.2">
      <c r="A3140" s="333">
        <v>39017011125</v>
      </c>
      <c r="B3140" t="s">
        <v>198</v>
      </c>
      <c r="C3140" s="341" t="s">
        <v>5334</v>
      </c>
    </row>
    <row r="3141" spans="1:3" x14ac:dyDescent="0.2">
      <c r="A3141" s="333">
        <v>39017011126</v>
      </c>
      <c r="B3141" t="s">
        <v>199</v>
      </c>
      <c r="C3141" s="341" t="s">
        <v>5334</v>
      </c>
    </row>
    <row r="3142" spans="1:3" x14ac:dyDescent="0.2">
      <c r="A3142" s="333">
        <v>39017011127</v>
      </c>
      <c r="B3142" t="s">
        <v>200</v>
      </c>
      <c r="C3142" s="341" t="s">
        <v>5334</v>
      </c>
    </row>
    <row r="3143" spans="1:3" x14ac:dyDescent="0.2">
      <c r="A3143" s="333">
        <v>39017011128</v>
      </c>
      <c r="B3143" t="s">
        <v>201</v>
      </c>
      <c r="C3143" s="341" t="s">
        <v>5334</v>
      </c>
    </row>
    <row r="3144" spans="1:3" x14ac:dyDescent="0.2">
      <c r="A3144" s="333">
        <v>39017011129</v>
      </c>
      <c r="B3144" t="s">
        <v>202</v>
      </c>
      <c r="C3144" s="341" t="s">
        <v>5334</v>
      </c>
    </row>
    <row r="3145" spans="1:3" x14ac:dyDescent="0.2">
      <c r="A3145" s="333">
        <v>39017011130</v>
      </c>
      <c r="B3145" t="s">
        <v>203</v>
      </c>
      <c r="C3145" s="341" t="s">
        <v>5334</v>
      </c>
    </row>
    <row r="3146" spans="1:3" x14ac:dyDescent="0.2">
      <c r="A3146" s="333">
        <v>39017011131</v>
      </c>
      <c r="B3146" t="s">
        <v>204</v>
      </c>
      <c r="C3146" s="341" t="s">
        <v>5334</v>
      </c>
    </row>
    <row r="3147" spans="1:3" x14ac:dyDescent="0.2">
      <c r="A3147" s="333">
        <v>39017011132</v>
      </c>
      <c r="B3147" t="s">
        <v>5362</v>
      </c>
      <c r="C3147" s="341" t="s">
        <v>5334</v>
      </c>
    </row>
    <row r="3148" spans="1:3" x14ac:dyDescent="0.2">
      <c r="A3148" s="333">
        <v>39017011133</v>
      </c>
      <c r="B3148" t="s">
        <v>5363</v>
      </c>
      <c r="C3148" s="341" t="s">
        <v>5334</v>
      </c>
    </row>
    <row r="3149" spans="1:3" x14ac:dyDescent="0.2">
      <c r="A3149" s="333">
        <v>39017011134</v>
      </c>
      <c r="B3149" t="s">
        <v>5364</v>
      </c>
      <c r="C3149" s="341" t="s">
        <v>5334</v>
      </c>
    </row>
    <row r="3150" spans="1:3" x14ac:dyDescent="0.2">
      <c r="A3150" s="333">
        <v>39017011135</v>
      </c>
      <c r="B3150" t="s">
        <v>5365</v>
      </c>
      <c r="C3150" s="341" t="s">
        <v>5334</v>
      </c>
    </row>
    <row r="3151" spans="1:3" x14ac:dyDescent="0.2">
      <c r="A3151" s="333">
        <v>39017011136</v>
      </c>
      <c r="B3151" t="s">
        <v>5366</v>
      </c>
      <c r="C3151" s="341" t="s">
        <v>5334</v>
      </c>
    </row>
    <row r="3152" spans="1:3" x14ac:dyDescent="0.2">
      <c r="A3152" s="333">
        <v>39017011137</v>
      </c>
      <c r="B3152" t="s">
        <v>5367</v>
      </c>
      <c r="C3152" s="341" t="s">
        <v>5334</v>
      </c>
    </row>
    <row r="3153" spans="1:3" x14ac:dyDescent="0.2">
      <c r="A3153" s="333">
        <v>39017011200</v>
      </c>
      <c r="B3153" t="s">
        <v>205</v>
      </c>
      <c r="C3153" s="341" t="s">
        <v>5334</v>
      </c>
    </row>
    <row r="3154" spans="1:3" x14ac:dyDescent="0.2">
      <c r="A3154" s="333">
        <v>39017011300</v>
      </c>
      <c r="B3154" t="s">
        <v>206</v>
      </c>
      <c r="C3154" s="341" t="s">
        <v>5334</v>
      </c>
    </row>
    <row r="3155" spans="1:3" x14ac:dyDescent="0.2">
      <c r="A3155" s="333">
        <v>39017011800</v>
      </c>
      <c r="B3155" t="s">
        <v>207</v>
      </c>
      <c r="C3155" s="341" t="s">
        <v>5334</v>
      </c>
    </row>
    <row r="3156" spans="1:3" x14ac:dyDescent="0.2">
      <c r="A3156" s="333">
        <v>39017012100</v>
      </c>
      <c r="B3156" t="s">
        <v>208</v>
      </c>
      <c r="C3156" s="341" t="s">
        <v>5334</v>
      </c>
    </row>
    <row r="3157" spans="1:3" x14ac:dyDescent="0.2">
      <c r="A3157" s="333">
        <v>39017012200</v>
      </c>
      <c r="B3157" t="s">
        <v>209</v>
      </c>
      <c r="C3157" s="341" t="s">
        <v>4330</v>
      </c>
    </row>
    <row r="3158" spans="1:3" x14ac:dyDescent="0.2">
      <c r="A3158" s="333">
        <v>39017012300</v>
      </c>
      <c r="B3158" t="s">
        <v>210</v>
      </c>
      <c r="C3158" s="341" t="s">
        <v>4330</v>
      </c>
    </row>
    <row r="3159" spans="1:3" x14ac:dyDescent="0.2">
      <c r="A3159" s="333">
        <v>39017012400</v>
      </c>
      <c r="B3159" t="s">
        <v>211</v>
      </c>
      <c r="C3159" s="341" t="s">
        <v>5334</v>
      </c>
    </row>
    <row r="3160" spans="1:3" x14ac:dyDescent="0.2">
      <c r="A3160" s="333">
        <v>39017012500</v>
      </c>
      <c r="B3160" t="s">
        <v>212</v>
      </c>
      <c r="C3160" s="341" t="s">
        <v>5334</v>
      </c>
    </row>
    <row r="3161" spans="1:3" x14ac:dyDescent="0.2">
      <c r="A3161" s="333">
        <v>39017012600</v>
      </c>
      <c r="B3161" t="s">
        <v>213</v>
      </c>
      <c r="C3161" s="341" t="s">
        <v>5334</v>
      </c>
    </row>
    <row r="3162" spans="1:3" x14ac:dyDescent="0.2">
      <c r="A3162" s="333">
        <v>39017012700</v>
      </c>
      <c r="B3162" t="s">
        <v>214</v>
      </c>
      <c r="C3162" s="341" t="s">
        <v>5334</v>
      </c>
    </row>
    <row r="3163" spans="1:3" x14ac:dyDescent="0.2">
      <c r="A3163" s="333">
        <v>39017013000</v>
      </c>
      <c r="B3163" t="s">
        <v>215</v>
      </c>
      <c r="C3163" s="341" t="s">
        <v>4330</v>
      </c>
    </row>
    <row r="3164" spans="1:3" x14ac:dyDescent="0.2">
      <c r="A3164" s="333">
        <v>39017013100</v>
      </c>
      <c r="B3164" t="s">
        <v>216</v>
      </c>
      <c r="C3164" s="341" t="s">
        <v>4330</v>
      </c>
    </row>
    <row r="3165" spans="1:3" x14ac:dyDescent="0.2">
      <c r="A3165" s="333">
        <v>39017013200</v>
      </c>
      <c r="B3165" t="s">
        <v>217</v>
      </c>
      <c r="C3165" s="341" t="s">
        <v>4330</v>
      </c>
    </row>
    <row r="3166" spans="1:3" x14ac:dyDescent="0.2">
      <c r="A3166" s="333">
        <v>39017013300</v>
      </c>
      <c r="B3166" t="s">
        <v>218</v>
      </c>
      <c r="C3166" s="341" t="s">
        <v>5334</v>
      </c>
    </row>
    <row r="3167" spans="1:3" x14ac:dyDescent="0.2">
      <c r="A3167" s="333">
        <v>39017013400</v>
      </c>
      <c r="B3167" t="s">
        <v>219</v>
      </c>
      <c r="C3167" s="341" t="s">
        <v>4330</v>
      </c>
    </row>
    <row r="3168" spans="1:3" x14ac:dyDescent="0.2">
      <c r="A3168" s="333">
        <v>39017013500</v>
      </c>
      <c r="B3168" t="s">
        <v>220</v>
      </c>
      <c r="C3168" s="341" t="s">
        <v>4330</v>
      </c>
    </row>
    <row r="3169" spans="1:3" x14ac:dyDescent="0.2">
      <c r="A3169" s="333">
        <v>39017013600</v>
      </c>
      <c r="B3169" t="s">
        <v>221</v>
      </c>
      <c r="C3169" s="341" t="s">
        <v>4330</v>
      </c>
    </row>
    <row r="3170" spans="1:3" x14ac:dyDescent="0.2">
      <c r="A3170" s="333">
        <v>39017013900</v>
      </c>
      <c r="B3170" t="s">
        <v>222</v>
      </c>
      <c r="C3170" s="341" t="s">
        <v>4330</v>
      </c>
    </row>
    <row r="3171" spans="1:3" x14ac:dyDescent="0.2">
      <c r="A3171" s="333">
        <v>39017014000</v>
      </c>
      <c r="B3171" t="s">
        <v>223</v>
      </c>
      <c r="C3171" s="341" t="s">
        <v>4330</v>
      </c>
    </row>
    <row r="3172" spans="1:3" x14ac:dyDescent="0.2">
      <c r="A3172" s="333">
        <v>39017014100</v>
      </c>
      <c r="B3172" t="s">
        <v>224</v>
      </c>
      <c r="C3172" s="341" t="s">
        <v>4330</v>
      </c>
    </row>
    <row r="3173" spans="1:3" x14ac:dyDescent="0.2">
      <c r="A3173" s="333">
        <v>39017014300</v>
      </c>
      <c r="B3173" t="s">
        <v>225</v>
      </c>
      <c r="C3173" s="341" t="s">
        <v>5334</v>
      </c>
    </row>
    <row r="3174" spans="1:3" x14ac:dyDescent="0.2">
      <c r="A3174" s="333">
        <v>39017014400</v>
      </c>
      <c r="B3174" t="s">
        <v>226</v>
      </c>
      <c r="C3174" s="341" t="s">
        <v>4330</v>
      </c>
    </row>
    <row r="3175" spans="1:3" x14ac:dyDescent="0.2">
      <c r="A3175" s="333">
        <v>39017014600</v>
      </c>
      <c r="B3175" t="s">
        <v>227</v>
      </c>
      <c r="C3175" s="341" t="s">
        <v>4330</v>
      </c>
    </row>
    <row r="3176" spans="1:3" x14ac:dyDescent="0.2">
      <c r="A3176" s="333">
        <v>39017014700</v>
      </c>
      <c r="B3176" t="s">
        <v>228</v>
      </c>
      <c r="C3176" s="341" t="s">
        <v>5334</v>
      </c>
    </row>
    <row r="3177" spans="1:3" x14ac:dyDescent="0.2">
      <c r="A3177" s="333">
        <v>39017014800</v>
      </c>
      <c r="B3177" t="s">
        <v>229</v>
      </c>
      <c r="C3177" s="341" t="s">
        <v>5334</v>
      </c>
    </row>
    <row r="3178" spans="1:3" x14ac:dyDescent="0.2">
      <c r="A3178" s="333">
        <v>39017014900</v>
      </c>
      <c r="B3178" t="s">
        <v>230</v>
      </c>
      <c r="C3178" s="341" t="s">
        <v>5334</v>
      </c>
    </row>
    <row r="3179" spans="1:3" x14ac:dyDescent="0.2">
      <c r="A3179" s="333">
        <v>39017015000</v>
      </c>
      <c r="B3179" t="s">
        <v>231</v>
      </c>
      <c r="C3179" s="341" t="s">
        <v>5334</v>
      </c>
    </row>
    <row r="3180" spans="1:3" x14ac:dyDescent="0.2">
      <c r="A3180" s="333">
        <v>39017015100</v>
      </c>
      <c r="B3180" t="s">
        <v>232</v>
      </c>
      <c r="C3180" s="341" t="s">
        <v>5334</v>
      </c>
    </row>
    <row r="3181" spans="1:3" x14ac:dyDescent="0.2">
      <c r="A3181" s="333">
        <v>39019720100</v>
      </c>
      <c r="B3181" t="s">
        <v>233</v>
      </c>
      <c r="C3181" s="341" t="s">
        <v>5334</v>
      </c>
    </row>
    <row r="3182" spans="1:3" x14ac:dyDescent="0.2">
      <c r="A3182" s="333">
        <v>39019720200</v>
      </c>
      <c r="B3182" t="s">
        <v>234</v>
      </c>
      <c r="C3182" s="341" t="s">
        <v>5334</v>
      </c>
    </row>
    <row r="3183" spans="1:3" x14ac:dyDescent="0.2">
      <c r="A3183" s="333">
        <v>39019720300</v>
      </c>
      <c r="B3183" t="s">
        <v>235</v>
      </c>
      <c r="C3183" s="341" t="s">
        <v>5334</v>
      </c>
    </row>
    <row r="3184" spans="1:3" x14ac:dyDescent="0.2">
      <c r="A3184" s="333">
        <v>39019720400</v>
      </c>
      <c r="B3184" t="s">
        <v>236</v>
      </c>
      <c r="C3184" s="341" t="s">
        <v>5334</v>
      </c>
    </row>
    <row r="3185" spans="1:3" x14ac:dyDescent="0.2">
      <c r="A3185" s="333">
        <v>39019720500</v>
      </c>
      <c r="B3185" t="s">
        <v>237</v>
      </c>
      <c r="C3185" s="341" t="s">
        <v>5334</v>
      </c>
    </row>
    <row r="3186" spans="1:3" x14ac:dyDescent="0.2">
      <c r="A3186" s="333">
        <v>39019720600</v>
      </c>
      <c r="B3186" t="s">
        <v>238</v>
      </c>
      <c r="C3186" s="341" t="s">
        <v>5334</v>
      </c>
    </row>
    <row r="3187" spans="1:3" x14ac:dyDescent="0.2">
      <c r="A3187" s="333">
        <v>39019720700</v>
      </c>
      <c r="B3187" t="s">
        <v>239</v>
      </c>
      <c r="C3187" s="341" t="s">
        <v>5334</v>
      </c>
    </row>
    <row r="3188" spans="1:3" x14ac:dyDescent="0.2">
      <c r="A3188" s="333">
        <v>39021010100</v>
      </c>
      <c r="B3188" t="s">
        <v>240</v>
      </c>
      <c r="C3188" s="341" t="s">
        <v>5334</v>
      </c>
    </row>
    <row r="3189" spans="1:3" x14ac:dyDescent="0.2">
      <c r="A3189" s="333">
        <v>39021010200</v>
      </c>
      <c r="B3189" t="s">
        <v>241</v>
      </c>
      <c r="C3189" s="341" t="s">
        <v>5334</v>
      </c>
    </row>
    <row r="3190" spans="1:3" x14ac:dyDescent="0.2">
      <c r="A3190" s="333">
        <v>39021010400</v>
      </c>
      <c r="B3190" t="s">
        <v>242</v>
      </c>
      <c r="C3190" s="341" t="s">
        <v>5334</v>
      </c>
    </row>
    <row r="3191" spans="1:3" x14ac:dyDescent="0.2">
      <c r="A3191" s="333">
        <v>39021010500</v>
      </c>
      <c r="B3191" t="s">
        <v>243</v>
      </c>
      <c r="C3191" s="341" t="s">
        <v>5334</v>
      </c>
    </row>
    <row r="3192" spans="1:3" x14ac:dyDescent="0.2">
      <c r="A3192" s="333">
        <v>39021010600</v>
      </c>
      <c r="B3192" t="s">
        <v>244</v>
      </c>
      <c r="C3192" s="341" t="s">
        <v>5334</v>
      </c>
    </row>
    <row r="3193" spans="1:3" x14ac:dyDescent="0.2">
      <c r="A3193" s="333">
        <v>39021011001</v>
      </c>
      <c r="B3193" t="s">
        <v>245</v>
      </c>
      <c r="C3193" s="341" t="s">
        <v>5334</v>
      </c>
    </row>
    <row r="3194" spans="1:3" x14ac:dyDescent="0.2">
      <c r="A3194" s="333">
        <v>39021011501</v>
      </c>
      <c r="B3194" t="s">
        <v>246</v>
      </c>
      <c r="C3194" s="341" t="s">
        <v>5334</v>
      </c>
    </row>
    <row r="3195" spans="1:3" x14ac:dyDescent="0.2">
      <c r="A3195" s="333">
        <v>39021011504</v>
      </c>
      <c r="B3195" t="s">
        <v>247</v>
      </c>
      <c r="C3195" s="341" t="s">
        <v>5334</v>
      </c>
    </row>
    <row r="3196" spans="1:3" x14ac:dyDescent="0.2">
      <c r="A3196" s="333">
        <v>39021011505</v>
      </c>
      <c r="B3196" t="s">
        <v>248</v>
      </c>
      <c r="C3196" s="341" t="s">
        <v>5334</v>
      </c>
    </row>
    <row r="3197" spans="1:3" x14ac:dyDescent="0.2">
      <c r="A3197" s="333">
        <v>39021011506</v>
      </c>
      <c r="B3197" t="s">
        <v>249</v>
      </c>
      <c r="C3197" s="341" t="s">
        <v>5334</v>
      </c>
    </row>
    <row r="3198" spans="1:3" x14ac:dyDescent="0.2">
      <c r="A3198" s="333">
        <v>39023000200</v>
      </c>
      <c r="B3198" t="s">
        <v>250</v>
      </c>
      <c r="C3198" s="341" t="s">
        <v>4330</v>
      </c>
    </row>
    <row r="3199" spans="1:3" x14ac:dyDescent="0.2">
      <c r="A3199" s="333">
        <v>39023000300</v>
      </c>
      <c r="B3199" t="s">
        <v>251</v>
      </c>
      <c r="C3199" s="341" t="s">
        <v>4330</v>
      </c>
    </row>
    <row r="3200" spans="1:3" x14ac:dyDescent="0.2">
      <c r="A3200" s="333">
        <v>39023000400</v>
      </c>
      <c r="B3200" t="s">
        <v>252</v>
      </c>
      <c r="C3200" s="341" t="s">
        <v>4330</v>
      </c>
    </row>
    <row r="3201" spans="1:3" x14ac:dyDescent="0.2">
      <c r="A3201" s="333">
        <v>39023000500</v>
      </c>
      <c r="B3201" t="s">
        <v>253</v>
      </c>
      <c r="C3201" s="341" t="s">
        <v>4330</v>
      </c>
    </row>
    <row r="3202" spans="1:3" x14ac:dyDescent="0.2">
      <c r="A3202" s="333">
        <v>39023000600</v>
      </c>
      <c r="B3202" t="s">
        <v>254</v>
      </c>
      <c r="C3202" s="341" t="s">
        <v>4330</v>
      </c>
    </row>
    <row r="3203" spans="1:3" x14ac:dyDescent="0.2">
      <c r="A3203" s="333">
        <v>39023000700</v>
      </c>
      <c r="B3203" t="s">
        <v>255</v>
      </c>
      <c r="C3203" s="341" t="s">
        <v>4330</v>
      </c>
    </row>
    <row r="3204" spans="1:3" x14ac:dyDescent="0.2">
      <c r="A3204" s="333">
        <v>39023000901</v>
      </c>
      <c r="B3204" t="s">
        <v>256</v>
      </c>
      <c r="C3204" s="341" t="s">
        <v>4330</v>
      </c>
    </row>
    <row r="3205" spans="1:3" x14ac:dyDescent="0.2">
      <c r="A3205" s="333">
        <v>39023000902</v>
      </c>
      <c r="B3205" t="s">
        <v>257</v>
      </c>
      <c r="C3205" s="341" t="s">
        <v>4330</v>
      </c>
    </row>
    <row r="3206" spans="1:3" x14ac:dyDescent="0.2">
      <c r="A3206" s="333">
        <v>39023001000</v>
      </c>
      <c r="B3206" t="s">
        <v>258</v>
      </c>
      <c r="C3206" s="341" t="s">
        <v>5334</v>
      </c>
    </row>
    <row r="3207" spans="1:3" x14ac:dyDescent="0.2">
      <c r="A3207" s="333">
        <v>39023001101</v>
      </c>
      <c r="B3207" t="s">
        <v>259</v>
      </c>
      <c r="C3207" s="341" t="s">
        <v>4330</v>
      </c>
    </row>
    <row r="3208" spans="1:3" x14ac:dyDescent="0.2">
      <c r="A3208" s="333">
        <v>39023001102</v>
      </c>
      <c r="B3208" t="s">
        <v>260</v>
      </c>
      <c r="C3208" s="341" t="s">
        <v>5334</v>
      </c>
    </row>
    <row r="3209" spans="1:3" x14ac:dyDescent="0.2">
      <c r="A3209" s="333">
        <v>39023001200</v>
      </c>
      <c r="B3209" t="s">
        <v>261</v>
      </c>
      <c r="C3209" s="341" t="s">
        <v>4330</v>
      </c>
    </row>
    <row r="3210" spans="1:3" x14ac:dyDescent="0.2">
      <c r="A3210" s="333">
        <v>39023001300</v>
      </c>
      <c r="B3210" t="s">
        <v>262</v>
      </c>
      <c r="C3210" s="341" t="s">
        <v>5334</v>
      </c>
    </row>
    <row r="3211" spans="1:3" x14ac:dyDescent="0.2">
      <c r="A3211" s="333">
        <v>39023001400</v>
      </c>
      <c r="B3211" t="s">
        <v>263</v>
      </c>
      <c r="C3211" s="341" t="s">
        <v>5334</v>
      </c>
    </row>
    <row r="3212" spans="1:3" x14ac:dyDescent="0.2">
      <c r="A3212" s="333">
        <v>39023001500</v>
      </c>
      <c r="B3212" t="s">
        <v>264</v>
      </c>
      <c r="C3212" s="341" t="s">
        <v>5334</v>
      </c>
    </row>
    <row r="3213" spans="1:3" x14ac:dyDescent="0.2">
      <c r="A3213" s="333">
        <v>39023001600</v>
      </c>
      <c r="B3213" t="s">
        <v>265</v>
      </c>
      <c r="C3213" s="341" t="s">
        <v>5334</v>
      </c>
    </row>
    <row r="3214" spans="1:3" x14ac:dyDescent="0.2">
      <c r="A3214" s="333">
        <v>39023001700</v>
      </c>
      <c r="B3214" t="s">
        <v>266</v>
      </c>
      <c r="C3214" s="341" t="s">
        <v>4330</v>
      </c>
    </row>
    <row r="3215" spans="1:3" x14ac:dyDescent="0.2">
      <c r="A3215" s="333">
        <v>39023001900</v>
      </c>
      <c r="B3215" t="s">
        <v>267</v>
      </c>
      <c r="C3215" s="341" t="s">
        <v>5334</v>
      </c>
    </row>
    <row r="3216" spans="1:3" x14ac:dyDescent="0.2">
      <c r="A3216" s="333">
        <v>39023002000</v>
      </c>
      <c r="B3216" t="s">
        <v>268</v>
      </c>
      <c r="C3216" s="341" t="s">
        <v>5334</v>
      </c>
    </row>
    <row r="3217" spans="1:3" x14ac:dyDescent="0.2">
      <c r="A3217" s="333">
        <v>39023002100</v>
      </c>
      <c r="B3217" t="s">
        <v>269</v>
      </c>
      <c r="C3217" s="341" t="s">
        <v>5334</v>
      </c>
    </row>
    <row r="3218" spans="1:3" x14ac:dyDescent="0.2">
      <c r="A3218" s="333">
        <v>39023002200</v>
      </c>
      <c r="B3218" t="s">
        <v>270</v>
      </c>
      <c r="C3218" s="341" t="s">
        <v>5334</v>
      </c>
    </row>
    <row r="3219" spans="1:3" x14ac:dyDescent="0.2">
      <c r="A3219" s="333">
        <v>39023002301</v>
      </c>
      <c r="B3219" t="s">
        <v>271</v>
      </c>
      <c r="C3219" s="341" t="s">
        <v>5334</v>
      </c>
    </row>
    <row r="3220" spans="1:3" x14ac:dyDescent="0.2">
      <c r="A3220" s="333">
        <v>39023002403</v>
      </c>
      <c r="B3220" t="s">
        <v>272</v>
      </c>
      <c r="C3220" s="341" t="s">
        <v>5334</v>
      </c>
    </row>
    <row r="3221" spans="1:3" x14ac:dyDescent="0.2">
      <c r="A3221" s="333">
        <v>39023002404</v>
      </c>
      <c r="B3221" t="s">
        <v>273</v>
      </c>
      <c r="C3221" s="341" t="s">
        <v>5334</v>
      </c>
    </row>
    <row r="3222" spans="1:3" x14ac:dyDescent="0.2">
      <c r="A3222" s="333">
        <v>39023002501</v>
      </c>
      <c r="B3222" t="s">
        <v>274</v>
      </c>
      <c r="C3222" s="341" t="s">
        <v>5334</v>
      </c>
    </row>
    <row r="3223" spans="1:3" x14ac:dyDescent="0.2">
      <c r="A3223" s="333">
        <v>39023002502</v>
      </c>
      <c r="B3223" t="s">
        <v>275</v>
      </c>
      <c r="C3223" s="341" t="s">
        <v>5334</v>
      </c>
    </row>
    <row r="3224" spans="1:3" x14ac:dyDescent="0.2">
      <c r="A3224" s="333">
        <v>39023002601</v>
      </c>
      <c r="B3224" t="s">
        <v>276</v>
      </c>
      <c r="C3224" s="341" t="s">
        <v>5334</v>
      </c>
    </row>
    <row r="3225" spans="1:3" x14ac:dyDescent="0.2">
      <c r="A3225" s="333">
        <v>39023002602</v>
      </c>
      <c r="B3225" t="s">
        <v>277</v>
      </c>
      <c r="C3225" s="341" t="s">
        <v>5334</v>
      </c>
    </row>
    <row r="3226" spans="1:3" x14ac:dyDescent="0.2">
      <c r="A3226" s="333">
        <v>39023002605</v>
      </c>
      <c r="B3226" t="s">
        <v>278</v>
      </c>
      <c r="C3226" s="341" t="s">
        <v>5334</v>
      </c>
    </row>
    <row r="3227" spans="1:3" x14ac:dyDescent="0.2">
      <c r="A3227" s="333">
        <v>39023002607</v>
      </c>
      <c r="B3227" t="s">
        <v>5368</v>
      </c>
      <c r="C3227" s="341" t="s">
        <v>5334</v>
      </c>
    </row>
    <row r="3228" spans="1:3" x14ac:dyDescent="0.2">
      <c r="A3228" s="333">
        <v>39023002608</v>
      </c>
      <c r="B3228" t="s">
        <v>5369</v>
      </c>
      <c r="C3228" s="341" t="s">
        <v>5334</v>
      </c>
    </row>
    <row r="3229" spans="1:3" x14ac:dyDescent="0.2">
      <c r="A3229" s="333">
        <v>39023002701</v>
      </c>
      <c r="B3229" t="s">
        <v>280</v>
      </c>
      <c r="C3229" s="341" t="s">
        <v>5334</v>
      </c>
    </row>
    <row r="3230" spans="1:3" x14ac:dyDescent="0.2">
      <c r="A3230" s="333">
        <v>39023002702</v>
      </c>
      <c r="B3230" t="s">
        <v>281</v>
      </c>
      <c r="C3230" s="341" t="s">
        <v>5334</v>
      </c>
    </row>
    <row r="3231" spans="1:3" x14ac:dyDescent="0.2">
      <c r="A3231" s="333">
        <v>39023002800</v>
      </c>
      <c r="B3231" t="s">
        <v>282</v>
      </c>
      <c r="C3231" s="341" t="s">
        <v>5334</v>
      </c>
    </row>
    <row r="3232" spans="1:3" x14ac:dyDescent="0.2">
      <c r="A3232" s="333">
        <v>39023002901</v>
      </c>
      <c r="B3232" t="s">
        <v>283</v>
      </c>
      <c r="C3232" s="341" t="s">
        <v>5334</v>
      </c>
    </row>
    <row r="3233" spans="1:3" x14ac:dyDescent="0.2">
      <c r="A3233" s="333">
        <v>39023002902</v>
      </c>
      <c r="B3233" t="s">
        <v>284</v>
      </c>
      <c r="C3233" s="341" t="s">
        <v>5334</v>
      </c>
    </row>
    <row r="3234" spans="1:3" x14ac:dyDescent="0.2">
      <c r="A3234" s="333">
        <v>39023003001</v>
      </c>
      <c r="B3234" t="s">
        <v>285</v>
      </c>
      <c r="C3234" s="341" t="s">
        <v>5334</v>
      </c>
    </row>
    <row r="3235" spans="1:3" x14ac:dyDescent="0.2">
      <c r="A3235" s="333">
        <v>39023003002</v>
      </c>
      <c r="B3235" t="s">
        <v>286</v>
      </c>
      <c r="C3235" s="341" t="s">
        <v>5334</v>
      </c>
    </row>
    <row r="3236" spans="1:3" x14ac:dyDescent="0.2">
      <c r="A3236" s="333">
        <v>39023003101</v>
      </c>
      <c r="B3236" t="s">
        <v>287</v>
      </c>
      <c r="C3236" s="341" t="s">
        <v>5334</v>
      </c>
    </row>
    <row r="3237" spans="1:3" x14ac:dyDescent="0.2">
      <c r="A3237" s="333">
        <v>39023003102</v>
      </c>
      <c r="B3237" t="s">
        <v>288</v>
      </c>
      <c r="C3237" s="341" t="s">
        <v>5334</v>
      </c>
    </row>
    <row r="3238" spans="1:3" x14ac:dyDescent="0.2">
      <c r="A3238" s="333">
        <v>39023003200</v>
      </c>
      <c r="B3238" t="s">
        <v>289</v>
      </c>
      <c r="C3238" s="341" t="s">
        <v>5334</v>
      </c>
    </row>
    <row r="3239" spans="1:3" x14ac:dyDescent="0.2">
      <c r="A3239" s="333">
        <v>39023003301</v>
      </c>
      <c r="B3239" t="s">
        <v>290</v>
      </c>
      <c r="C3239" s="341" t="s">
        <v>5334</v>
      </c>
    </row>
    <row r="3240" spans="1:3" x14ac:dyDescent="0.2">
      <c r="A3240" s="333">
        <v>39023003302</v>
      </c>
      <c r="B3240" t="s">
        <v>291</v>
      </c>
      <c r="C3240" s="341" t="s">
        <v>5334</v>
      </c>
    </row>
    <row r="3241" spans="1:3" x14ac:dyDescent="0.2">
      <c r="A3241" s="333">
        <v>39023003400</v>
      </c>
      <c r="B3241" t="s">
        <v>292</v>
      </c>
      <c r="C3241" s="341" t="s">
        <v>4330</v>
      </c>
    </row>
    <row r="3242" spans="1:3" x14ac:dyDescent="0.2">
      <c r="A3242" s="333">
        <v>39023003700</v>
      </c>
      <c r="B3242" t="s">
        <v>293</v>
      </c>
      <c r="C3242" s="341" t="s">
        <v>5334</v>
      </c>
    </row>
    <row r="3243" spans="1:3" x14ac:dyDescent="0.2">
      <c r="A3243" s="333">
        <v>39025040101</v>
      </c>
      <c r="B3243" t="s">
        <v>294</v>
      </c>
      <c r="C3243" s="341" t="s">
        <v>5334</v>
      </c>
    </row>
    <row r="3244" spans="1:3" x14ac:dyDescent="0.2">
      <c r="A3244" s="333">
        <v>39025040102</v>
      </c>
      <c r="B3244" t="s">
        <v>295</v>
      </c>
      <c r="C3244" s="341" t="s">
        <v>5334</v>
      </c>
    </row>
    <row r="3245" spans="1:3" x14ac:dyDescent="0.2">
      <c r="A3245" s="333">
        <v>39025040202</v>
      </c>
      <c r="B3245" t="s">
        <v>296</v>
      </c>
      <c r="C3245" s="341" t="s">
        <v>5334</v>
      </c>
    </row>
    <row r="3246" spans="1:3" x14ac:dyDescent="0.2">
      <c r="A3246" s="333">
        <v>39025040203</v>
      </c>
      <c r="B3246" t="s">
        <v>297</v>
      </c>
      <c r="C3246" s="341" t="s">
        <v>5334</v>
      </c>
    </row>
    <row r="3247" spans="1:3" x14ac:dyDescent="0.2">
      <c r="A3247" s="333">
        <v>39025040205</v>
      </c>
      <c r="B3247" t="s">
        <v>5370</v>
      </c>
      <c r="C3247" s="341" t="s">
        <v>5334</v>
      </c>
    </row>
    <row r="3248" spans="1:3" x14ac:dyDescent="0.2">
      <c r="A3248" s="333">
        <v>39025040206</v>
      </c>
      <c r="B3248" t="s">
        <v>5371</v>
      </c>
      <c r="C3248" s="341" t="s">
        <v>5334</v>
      </c>
    </row>
    <row r="3249" spans="1:3" x14ac:dyDescent="0.2">
      <c r="A3249" s="333">
        <v>39025040301</v>
      </c>
      <c r="B3249" t="s">
        <v>299</v>
      </c>
      <c r="C3249" s="341" t="s">
        <v>5334</v>
      </c>
    </row>
    <row r="3250" spans="1:3" x14ac:dyDescent="0.2">
      <c r="A3250" s="333">
        <v>39025040302</v>
      </c>
      <c r="B3250" t="s">
        <v>300</v>
      </c>
      <c r="C3250" s="341" t="s">
        <v>5334</v>
      </c>
    </row>
    <row r="3251" spans="1:3" x14ac:dyDescent="0.2">
      <c r="A3251" s="333">
        <v>39025040303</v>
      </c>
      <c r="B3251" t="s">
        <v>301</v>
      </c>
      <c r="C3251" s="341" t="s">
        <v>5334</v>
      </c>
    </row>
    <row r="3252" spans="1:3" x14ac:dyDescent="0.2">
      <c r="A3252" s="333">
        <v>39025040401</v>
      </c>
      <c r="B3252" t="s">
        <v>302</v>
      </c>
      <c r="C3252" s="341" t="s">
        <v>5334</v>
      </c>
    </row>
    <row r="3253" spans="1:3" x14ac:dyDescent="0.2">
      <c r="A3253" s="333">
        <v>39025040403</v>
      </c>
      <c r="B3253" t="s">
        <v>303</v>
      </c>
      <c r="C3253" s="341" t="s">
        <v>5334</v>
      </c>
    </row>
    <row r="3254" spans="1:3" x14ac:dyDescent="0.2">
      <c r="A3254" s="333">
        <v>39025040404</v>
      </c>
      <c r="B3254" t="s">
        <v>304</v>
      </c>
      <c r="C3254" s="341" t="s">
        <v>5334</v>
      </c>
    </row>
    <row r="3255" spans="1:3" x14ac:dyDescent="0.2">
      <c r="A3255" s="333">
        <v>39025040405</v>
      </c>
      <c r="B3255" t="s">
        <v>305</v>
      </c>
      <c r="C3255" s="341" t="s">
        <v>5334</v>
      </c>
    </row>
    <row r="3256" spans="1:3" x14ac:dyDescent="0.2">
      <c r="A3256" s="333">
        <v>39025040500</v>
      </c>
      <c r="B3256" t="s">
        <v>306</v>
      </c>
      <c r="C3256" s="341" t="s">
        <v>5334</v>
      </c>
    </row>
    <row r="3257" spans="1:3" x14ac:dyDescent="0.2">
      <c r="A3257" s="333">
        <v>39025040600</v>
      </c>
      <c r="B3257" t="s">
        <v>307</v>
      </c>
      <c r="C3257" s="341" t="s">
        <v>5334</v>
      </c>
    </row>
    <row r="3258" spans="1:3" x14ac:dyDescent="0.2">
      <c r="A3258" s="333">
        <v>39025040702</v>
      </c>
      <c r="B3258" t="s">
        <v>309</v>
      </c>
      <c r="C3258" s="341" t="s">
        <v>5334</v>
      </c>
    </row>
    <row r="3259" spans="1:3" x14ac:dyDescent="0.2">
      <c r="A3259" s="333">
        <v>39025040703</v>
      </c>
      <c r="B3259" t="s">
        <v>5372</v>
      </c>
      <c r="C3259" s="341" t="s">
        <v>5334</v>
      </c>
    </row>
    <row r="3260" spans="1:3" x14ac:dyDescent="0.2">
      <c r="A3260" s="333">
        <v>39025040704</v>
      </c>
      <c r="B3260" t="s">
        <v>5373</v>
      </c>
      <c r="C3260" s="341" t="s">
        <v>5334</v>
      </c>
    </row>
    <row r="3261" spans="1:3" x14ac:dyDescent="0.2">
      <c r="A3261" s="333">
        <v>39025040800</v>
      </c>
      <c r="B3261" t="s">
        <v>310</v>
      </c>
      <c r="C3261" s="341" t="s">
        <v>5334</v>
      </c>
    </row>
    <row r="3262" spans="1:3" x14ac:dyDescent="0.2">
      <c r="A3262" s="333">
        <v>39025040900</v>
      </c>
      <c r="B3262" t="s">
        <v>311</v>
      </c>
      <c r="C3262" s="341" t="s">
        <v>5334</v>
      </c>
    </row>
    <row r="3263" spans="1:3" x14ac:dyDescent="0.2">
      <c r="A3263" s="333">
        <v>39025041001</v>
      </c>
      <c r="B3263" t="s">
        <v>5374</v>
      </c>
      <c r="C3263" s="341" t="s">
        <v>5334</v>
      </c>
    </row>
    <row r="3264" spans="1:3" x14ac:dyDescent="0.2">
      <c r="A3264" s="333">
        <v>39025041002</v>
      </c>
      <c r="B3264" t="s">
        <v>5375</v>
      </c>
      <c r="C3264" s="341" t="s">
        <v>5334</v>
      </c>
    </row>
    <row r="3265" spans="1:3" x14ac:dyDescent="0.2">
      <c r="A3265" s="333">
        <v>39025041101</v>
      </c>
      <c r="B3265" t="s">
        <v>313</v>
      </c>
      <c r="C3265" s="341" t="s">
        <v>5334</v>
      </c>
    </row>
    <row r="3266" spans="1:3" x14ac:dyDescent="0.2">
      <c r="A3266" s="333">
        <v>39025041102</v>
      </c>
      <c r="B3266" t="s">
        <v>314</v>
      </c>
      <c r="C3266" s="341" t="s">
        <v>4330</v>
      </c>
    </row>
    <row r="3267" spans="1:3" x14ac:dyDescent="0.2">
      <c r="A3267" s="333">
        <v>39025041104</v>
      </c>
      <c r="B3267" t="s">
        <v>5376</v>
      </c>
      <c r="C3267" s="341" t="s">
        <v>5334</v>
      </c>
    </row>
    <row r="3268" spans="1:3" x14ac:dyDescent="0.2">
      <c r="A3268" s="333">
        <v>39025041105</v>
      </c>
      <c r="B3268" t="s">
        <v>5377</v>
      </c>
      <c r="C3268" s="341" t="s">
        <v>5334</v>
      </c>
    </row>
    <row r="3269" spans="1:3" x14ac:dyDescent="0.2">
      <c r="A3269" s="333">
        <v>39025041201</v>
      </c>
      <c r="B3269" t="s">
        <v>5378</v>
      </c>
      <c r="C3269" s="341" t="s">
        <v>5334</v>
      </c>
    </row>
    <row r="3270" spans="1:3" x14ac:dyDescent="0.2">
      <c r="A3270" s="333">
        <v>39025041202</v>
      </c>
      <c r="B3270" t="s">
        <v>5379</v>
      </c>
      <c r="C3270" s="341" t="s">
        <v>5334</v>
      </c>
    </row>
    <row r="3271" spans="1:3" x14ac:dyDescent="0.2">
      <c r="A3271" s="333">
        <v>39025041303</v>
      </c>
      <c r="B3271" t="s">
        <v>317</v>
      </c>
      <c r="C3271" s="341" t="s">
        <v>5334</v>
      </c>
    </row>
    <row r="3272" spans="1:3" x14ac:dyDescent="0.2">
      <c r="A3272" s="333">
        <v>39025041304</v>
      </c>
      <c r="B3272" t="s">
        <v>318</v>
      </c>
      <c r="C3272" s="341" t="s">
        <v>5334</v>
      </c>
    </row>
    <row r="3273" spans="1:3" x14ac:dyDescent="0.2">
      <c r="A3273" s="333">
        <v>39025041305</v>
      </c>
      <c r="B3273" t="s">
        <v>319</v>
      </c>
      <c r="C3273" s="341" t="s">
        <v>5334</v>
      </c>
    </row>
    <row r="3274" spans="1:3" x14ac:dyDescent="0.2">
      <c r="A3274" s="333">
        <v>39025041306</v>
      </c>
      <c r="B3274" t="s">
        <v>320</v>
      </c>
      <c r="C3274" s="341" t="s">
        <v>5334</v>
      </c>
    </row>
    <row r="3275" spans="1:3" x14ac:dyDescent="0.2">
      <c r="A3275" s="333">
        <v>39025041307</v>
      </c>
      <c r="B3275" t="s">
        <v>321</v>
      </c>
      <c r="C3275" s="341" t="s">
        <v>5334</v>
      </c>
    </row>
    <row r="3276" spans="1:3" x14ac:dyDescent="0.2">
      <c r="A3276" s="333">
        <v>39025041403</v>
      </c>
      <c r="B3276" t="s">
        <v>322</v>
      </c>
      <c r="C3276" s="341" t="s">
        <v>5334</v>
      </c>
    </row>
    <row r="3277" spans="1:3" x14ac:dyDescent="0.2">
      <c r="A3277" s="333">
        <v>39025041404</v>
      </c>
      <c r="B3277" t="s">
        <v>323</v>
      </c>
      <c r="C3277" s="341" t="s">
        <v>5334</v>
      </c>
    </row>
    <row r="3278" spans="1:3" x14ac:dyDescent="0.2">
      <c r="A3278" s="333">
        <v>39025041405</v>
      </c>
      <c r="B3278" t="s">
        <v>324</v>
      </c>
      <c r="C3278" s="341" t="s">
        <v>5334</v>
      </c>
    </row>
    <row r="3279" spans="1:3" x14ac:dyDescent="0.2">
      <c r="A3279" s="333">
        <v>39025041406</v>
      </c>
      <c r="B3279" t="s">
        <v>325</v>
      </c>
      <c r="C3279" s="341" t="s">
        <v>5334</v>
      </c>
    </row>
    <row r="3280" spans="1:3" x14ac:dyDescent="0.2">
      <c r="A3280" s="333">
        <v>39025041503</v>
      </c>
      <c r="B3280" t="s">
        <v>5380</v>
      </c>
      <c r="C3280" s="341" t="s">
        <v>5334</v>
      </c>
    </row>
    <row r="3281" spans="1:3" x14ac:dyDescent="0.2">
      <c r="A3281" s="333">
        <v>39025041504</v>
      </c>
      <c r="B3281" t="s">
        <v>5381</v>
      </c>
      <c r="C3281" s="341" t="s">
        <v>5334</v>
      </c>
    </row>
    <row r="3282" spans="1:3" x14ac:dyDescent="0.2">
      <c r="A3282" s="333">
        <v>39025041505</v>
      </c>
      <c r="B3282" t="s">
        <v>5382</v>
      </c>
      <c r="C3282" s="341" t="s">
        <v>5334</v>
      </c>
    </row>
    <row r="3283" spans="1:3" x14ac:dyDescent="0.2">
      <c r="A3283" s="333">
        <v>39025041506</v>
      </c>
      <c r="B3283" t="s">
        <v>5383</v>
      </c>
      <c r="C3283" s="341" t="s">
        <v>5334</v>
      </c>
    </row>
    <row r="3284" spans="1:3" x14ac:dyDescent="0.2">
      <c r="A3284" s="333">
        <v>39025041600</v>
      </c>
      <c r="B3284" t="s">
        <v>328</v>
      </c>
      <c r="C3284" s="341" t="s">
        <v>5334</v>
      </c>
    </row>
    <row r="3285" spans="1:3" x14ac:dyDescent="0.2">
      <c r="A3285" s="333">
        <v>39025041701</v>
      </c>
      <c r="B3285" t="s">
        <v>329</v>
      </c>
      <c r="C3285" s="341" t="s">
        <v>5334</v>
      </c>
    </row>
    <row r="3286" spans="1:3" x14ac:dyDescent="0.2">
      <c r="A3286" s="333">
        <v>39025041702</v>
      </c>
      <c r="B3286" t="s">
        <v>330</v>
      </c>
      <c r="C3286" s="341" t="s">
        <v>5334</v>
      </c>
    </row>
    <row r="3287" spans="1:3" x14ac:dyDescent="0.2">
      <c r="A3287" s="333">
        <v>39025041800</v>
      </c>
      <c r="B3287" t="s">
        <v>331</v>
      </c>
      <c r="C3287" s="341" t="s">
        <v>5334</v>
      </c>
    </row>
    <row r="3288" spans="1:3" x14ac:dyDescent="0.2">
      <c r="A3288" s="333">
        <v>39025041900</v>
      </c>
      <c r="B3288" t="s">
        <v>332</v>
      </c>
      <c r="C3288" s="341" t="s">
        <v>5334</v>
      </c>
    </row>
    <row r="3289" spans="1:3" x14ac:dyDescent="0.2">
      <c r="A3289" s="333">
        <v>39025042001</v>
      </c>
      <c r="B3289" t="s">
        <v>5384</v>
      </c>
      <c r="C3289" s="341" t="s">
        <v>5334</v>
      </c>
    </row>
    <row r="3290" spans="1:3" x14ac:dyDescent="0.2">
      <c r="A3290" s="333">
        <v>39025042002</v>
      </c>
      <c r="B3290" t="s">
        <v>5385</v>
      </c>
      <c r="C3290" s="341" t="s">
        <v>5334</v>
      </c>
    </row>
    <row r="3291" spans="1:3" x14ac:dyDescent="0.2">
      <c r="A3291" s="333">
        <v>39027964300</v>
      </c>
      <c r="B3291" t="s">
        <v>334</v>
      </c>
      <c r="C3291" s="341" t="s">
        <v>5334</v>
      </c>
    </row>
    <row r="3292" spans="1:3" x14ac:dyDescent="0.2">
      <c r="A3292" s="333">
        <v>39027964400</v>
      </c>
      <c r="B3292" t="s">
        <v>335</v>
      </c>
      <c r="C3292" s="341" t="s">
        <v>5334</v>
      </c>
    </row>
    <row r="3293" spans="1:3" x14ac:dyDescent="0.2">
      <c r="A3293" s="333">
        <v>39027964501</v>
      </c>
      <c r="B3293" t="s">
        <v>5386</v>
      </c>
      <c r="C3293" s="341" t="s">
        <v>5334</v>
      </c>
    </row>
    <row r="3294" spans="1:3" x14ac:dyDescent="0.2">
      <c r="A3294" s="333">
        <v>39027964502</v>
      </c>
      <c r="B3294" t="s">
        <v>5387</v>
      </c>
      <c r="C3294" s="341" t="s">
        <v>5334</v>
      </c>
    </row>
    <row r="3295" spans="1:3" x14ac:dyDescent="0.2">
      <c r="A3295" s="333">
        <v>39027964600</v>
      </c>
      <c r="B3295" t="s">
        <v>337</v>
      </c>
      <c r="C3295" s="341" t="s">
        <v>5334</v>
      </c>
    </row>
    <row r="3296" spans="1:3" x14ac:dyDescent="0.2">
      <c r="A3296" s="333">
        <v>39027964700</v>
      </c>
      <c r="B3296" t="s">
        <v>338</v>
      </c>
      <c r="C3296" s="341" t="s">
        <v>5334</v>
      </c>
    </row>
    <row r="3297" spans="1:3" x14ac:dyDescent="0.2">
      <c r="A3297" s="333">
        <v>39027964800</v>
      </c>
      <c r="B3297" t="s">
        <v>339</v>
      </c>
      <c r="C3297" s="341" t="s">
        <v>5334</v>
      </c>
    </row>
    <row r="3298" spans="1:3" x14ac:dyDescent="0.2">
      <c r="A3298" s="333">
        <v>39027964900</v>
      </c>
      <c r="B3298" t="s">
        <v>340</v>
      </c>
      <c r="C3298" s="341" t="s">
        <v>5334</v>
      </c>
    </row>
    <row r="3299" spans="1:3" x14ac:dyDescent="0.2">
      <c r="A3299" s="333">
        <v>39027965000</v>
      </c>
      <c r="B3299" t="s">
        <v>341</v>
      </c>
      <c r="C3299" s="341" t="s">
        <v>5334</v>
      </c>
    </row>
    <row r="3300" spans="1:3" x14ac:dyDescent="0.2">
      <c r="A3300" s="333">
        <v>39027965100</v>
      </c>
      <c r="B3300" t="s">
        <v>342</v>
      </c>
      <c r="C3300" s="341" t="s">
        <v>5334</v>
      </c>
    </row>
    <row r="3301" spans="1:3" x14ac:dyDescent="0.2">
      <c r="A3301" s="333">
        <v>39029950100</v>
      </c>
      <c r="B3301" t="s">
        <v>343</v>
      </c>
      <c r="C3301" s="341" t="s">
        <v>5334</v>
      </c>
    </row>
    <row r="3302" spans="1:3" x14ac:dyDescent="0.2">
      <c r="A3302" s="333">
        <v>39029950200</v>
      </c>
      <c r="B3302" t="s">
        <v>344</v>
      </c>
      <c r="C3302" s="341" t="s">
        <v>5334</v>
      </c>
    </row>
    <row r="3303" spans="1:3" x14ac:dyDescent="0.2">
      <c r="A3303" s="333">
        <v>39029950300</v>
      </c>
      <c r="B3303" t="s">
        <v>345</v>
      </c>
      <c r="C3303" s="341" t="s">
        <v>5334</v>
      </c>
    </row>
    <row r="3304" spans="1:3" x14ac:dyDescent="0.2">
      <c r="A3304" s="333">
        <v>39029950400</v>
      </c>
      <c r="B3304" t="s">
        <v>346</v>
      </c>
      <c r="C3304" s="341" t="s">
        <v>5334</v>
      </c>
    </row>
    <row r="3305" spans="1:3" x14ac:dyDescent="0.2">
      <c r="A3305" s="333">
        <v>39029950500</v>
      </c>
      <c r="B3305" t="s">
        <v>347</v>
      </c>
      <c r="C3305" s="341" t="s">
        <v>5334</v>
      </c>
    </row>
    <row r="3306" spans="1:3" x14ac:dyDescent="0.2">
      <c r="A3306" s="333">
        <v>39029950600</v>
      </c>
      <c r="B3306" t="s">
        <v>348</v>
      </c>
      <c r="C3306" s="341" t="s">
        <v>5334</v>
      </c>
    </row>
    <row r="3307" spans="1:3" x14ac:dyDescent="0.2">
      <c r="A3307" s="333">
        <v>39029950700</v>
      </c>
      <c r="B3307" t="s">
        <v>349</v>
      </c>
      <c r="C3307" s="341" t="s">
        <v>5334</v>
      </c>
    </row>
    <row r="3308" spans="1:3" x14ac:dyDescent="0.2">
      <c r="A3308" s="333">
        <v>39029950800</v>
      </c>
      <c r="B3308" t="s">
        <v>350</v>
      </c>
      <c r="C3308" s="341" t="s">
        <v>5334</v>
      </c>
    </row>
    <row r="3309" spans="1:3" x14ac:dyDescent="0.2">
      <c r="A3309" s="333">
        <v>39029950900</v>
      </c>
      <c r="B3309" t="s">
        <v>351</v>
      </c>
      <c r="C3309" s="341" t="s">
        <v>5334</v>
      </c>
    </row>
    <row r="3310" spans="1:3" x14ac:dyDescent="0.2">
      <c r="A3310" s="333">
        <v>39029951000</v>
      </c>
      <c r="B3310" t="s">
        <v>352</v>
      </c>
      <c r="C3310" s="341" t="s">
        <v>5334</v>
      </c>
    </row>
    <row r="3311" spans="1:3" x14ac:dyDescent="0.2">
      <c r="A3311" s="333">
        <v>39029951100</v>
      </c>
      <c r="B3311" t="s">
        <v>353</v>
      </c>
      <c r="C3311" s="341" t="s">
        <v>5334</v>
      </c>
    </row>
    <row r="3312" spans="1:3" x14ac:dyDescent="0.2">
      <c r="A3312" s="333">
        <v>39029951200</v>
      </c>
      <c r="B3312" t="s">
        <v>354</v>
      </c>
      <c r="C3312" s="341" t="s">
        <v>5334</v>
      </c>
    </row>
    <row r="3313" spans="1:3" x14ac:dyDescent="0.2">
      <c r="A3313" s="333">
        <v>39029951300</v>
      </c>
      <c r="B3313" t="s">
        <v>355</v>
      </c>
      <c r="C3313" s="341" t="s">
        <v>5334</v>
      </c>
    </row>
    <row r="3314" spans="1:3" x14ac:dyDescent="0.2">
      <c r="A3314" s="333">
        <v>39029951401</v>
      </c>
      <c r="B3314" t="s">
        <v>5388</v>
      </c>
      <c r="C3314" s="341" t="s">
        <v>5334</v>
      </c>
    </row>
    <row r="3315" spans="1:3" x14ac:dyDescent="0.2">
      <c r="A3315" s="333">
        <v>39029951402</v>
      </c>
      <c r="B3315" t="s">
        <v>5389</v>
      </c>
      <c r="C3315" s="341" t="s">
        <v>5334</v>
      </c>
    </row>
    <row r="3316" spans="1:3" x14ac:dyDescent="0.2">
      <c r="A3316" s="333">
        <v>39029951500</v>
      </c>
      <c r="B3316" t="s">
        <v>357</v>
      </c>
      <c r="C3316" s="341" t="s">
        <v>5334</v>
      </c>
    </row>
    <row r="3317" spans="1:3" x14ac:dyDescent="0.2">
      <c r="A3317" s="333">
        <v>39029951600</v>
      </c>
      <c r="B3317" t="s">
        <v>358</v>
      </c>
      <c r="C3317" s="341" t="s">
        <v>5334</v>
      </c>
    </row>
    <row r="3318" spans="1:3" x14ac:dyDescent="0.2">
      <c r="A3318" s="333">
        <v>39029951700</v>
      </c>
      <c r="B3318" t="s">
        <v>359</v>
      </c>
      <c r="C3318" s="341" t="s">
        <v>5334</v>
      </c>
    </row>
    <row r="3319" spans="1:3" x14ac:dyDescent="0.2">
      <c r="A3319" s="333">
        <v>39029951800</v>
      </c>
      <c r="B3319" t="s">
        <v>360</v>
      </c>
      <c r="C3319" s="341" t="s">
        <v>4330</v>
      </c>
    </row>
    <row r="3320" spans="1:3" x14ac:dyDescent="0.2">
      <c r="A3320" s="333">
        <v>39029951900</v>
      </c>
      <c r="B3320" t="s">
        <v>361</v>
      </c>
      <c r="C3320" s="341" t="s">
        <v>5334</v>
      </c>
    </row>
    <row r="3321" spans="1:3" x14ac:dyDescent="0.2">
      <c r="A3321" s="333">
        <v>39029952000</v>
      </c>
      <c r="B3321" t="s">
        <v>362</v>
      </c>
      <c r="C3321" s="341" t="s">
        <v>5334</v>
      </c>
    </row>
    <row r="3322" spans="1:3" x14ac:dyDescent="0.2">
      <c r="A3322" s="333">
        <v>39029952100</v>
      </c>
      <c r="B3322" t="s">
        <v>363</v>
      </c>
      <c r="C3322" s="341" t="s">
        <v>4330</v>
      </c>
    </row>
    <row r="3323" spans="1:3" x14ac:dyDescent="0.2">
      <c r="A3323" s="333">
        <v>39029952200</v>
      </c>
      <c r="B3323" t="s">
        <v>364</v>
      </c>
      <c r="C3323" s="341" t="s">
        <v>4330</v>
      </c>
    </row>
    <row r="3324" spans="1:3" x14ac:dyDescent="0.2">
      <c r="A3324" s="333">
        <v>39029952300</v>
      </c>
      <c r="B3324" t="s">
        <v>365</v>
      </c>
      <c r="C3324" s="341" t="s">
        <v>4330</v>
      </c>
    </row>
    <row r="3325" spans="1:3" x14ac:dyDescent="0.2">
      <c r="A3325" s="333">
        <v>39029952400</v>
      </c>
      <c r="B3325" t="s">
        <v>366</v>
      </c>
      <c r="C3325" s="341" t="s">
        <v>5334</v>
      </c>
    </row>
    <row r="3326" spans="1:3" x14ac:dyDescent="0.2">
      <c r="A3326" s="333">
        <v>39031960900</v>
      </c>
      <c r="B3326" t="s">
        <v>367</v>
      </c>
      <c r="C3326" s="341" t="s">
        <v>5334</v>
      </c>
    </row>
    <row r="3327" spans="1:3" x14ac:dyDescent="0.2">
      <c r="A3327" s="333">
        <v>39031961000</v>
      </c>
      <c r="B3327" t="s">
        <v>368</v>
      </c>
      <c r="C3327" s="341" t="s">
        <v>5334</v>
      </c>
    </row>
    <row r="3328" spans="1:3" x14ac:dyDescent="0.2">
      <c r="A3328" s="333">
        <v>39031961100</v>
      </c>
      <c r="B3328" t="s">
        <v>369</v>
      </c>
      <c r="C3328" s="341" t="s">
        <v>5334</v>
      </c>
    </row>
    <row r="3329" spans="1:3" x14ac:dyDescent="0.2">
      <c r="A3329" s="333">
        <v>39031961200</v>
      </c>
      <c r="B3329" t="s">
        <v>370</v>
      </c>
      <c r="C3329" s="341" t="s">
        <v>5334</v>
      </c>
    </row>
    <row r="3330" spans="1:3" x14ac:dyDescent="0.2">
      <c r="A3330" s="333">
        <v>39031961300</v>
      </c>
      <c r="B3330" t="s">
        <v>371</v>
      </c>
      <c r="C3330" s="341" t="s">
        <v>4330</v>
      </c>
    </row>
    <row r="3331" spans="1:3" x14ac:dyDescent="0.2">
      <c r="A3331" s="333">
        <v>39031961400</v>
      </c>
      <c r="B3331" t="s">
        <v>372</v>
      </c>
      <c r="C3331" s="341" t="s">
        <v>4330</v>
      </c>
    </row>
    <row r="3332" spans="1:3" x14ac:dyDescent="0.2">
      <c r="A3332" s="333">
        <v>39031961500</v>
      </c>
      <c r="B3332" t="s">
        <v>373</v>
      </c>
      <c r="C3332" s="341" t="s">
        <v>5334</v>
      </c>
    </row>
    <row r="3333" spans="1:3" x14ac:dyDescent="0.2">
      <c r="A3333" s="333">
        <v>39031961600</v>
      </c>
      <c r="B3333" t="s">
        <v>374</v>
      </c>
      <c r="C3333" s="341" t="s">
        <v>5334</v>
      </c>
    </row>
    <row r="3334" spans="1:3" x14ac:dyDescent="0.2">
      <c r="A3334" s="333">
        <v>39031961700</v>
      </c>
      <c r="B3334" t="s">
        <v>375</v>
      </c>
      <c r="C3334" s="341" t="s">
        <v>5334</v>
      </c>
    </row>
    <row r="3335" spans="1:3" x14ac:dyDescent="0.2">
      <c r="A3335" s="333">
        <v>39031961800</v>
      </c>
      <c r="B3335" t="s">
        <v>376</v>
      </c>
      <c r="C3335" s="341" t="s">
        <v>5334</v>
      </c>
    </row>
    <row r="3336" spans="1:3" x14ac:dyDescent="0.2">
      <c r="A3336" s="333">
        <v>39033974100</v>
      </c>
      <c r="B3336" t="s">
        <v>377</v>
      </c>
      <c r="C3336" s="341" t="s">
        <v>5334</v>
      </c>
    </row>
    <row r="3337" spans="1:3" x14ac:dyDescent="0.2">
      <c r="A3337" s="333">
        <v>39033974200</v>
      </c>
      <c r="B3337" t="s">
        <v>378</v>
      </c>
      <c r="C3337" s="341" t="s">
        <v>5334</v>
      </c>
    </row>
    <row r="3338" spans="1:3" x14ac:dyDescent="0.2">
      <c r="A3338" s="333">
        <v>39033974300</v>
      </c>
      <c r="B3338" t="s">
        <v>379</v>
      </c>
      <c r="C3338" s="341" t="s">
        <v>5334</v>
      </c>
    </row>
    <row r="3339" spans="1:3" x14ac:dyDescent="0.2">
      <c r="A3339" s="333">
        <v>39033974400</v>
      </c>
      <c r="B3339" t="s">
        <v>380</v>
      </c>
      <c r="C3339" s="341" t="s">
        <v>5334</v>
      </c>
    </row>
    <row r="3340" spans="1:3" x14ac:dyDescent="0.2">
      <c r="A3340" s="333">
        <v>39033974500</v>
      </c>
      <c r="B3340" t="s">
        <v>381</v>
      </c>
      <c r="C3340" s="341" t="s">
        <v>5334</v>
      </c>
    </row>
    <row r="3341" spans="1:3" x14ac:dyDescent="0.2">
      <c r="A3341" s="333">
        <v>39033974600</v>
      </c>
      <c r="B3341" t="s">
        <v>382</v>
      </c>
      <c r="C3341" s="341" t="s">
        <v>5334</v>
      </c>
    </row>
    <row r="3342" spans="1:3" x14ac:dyDescent="0.2">
      <c r="A3342" s="333">
        <v>39033974700</v>
      </c>
      <c r="B3342" t="s">
        <v>383</v>
      </c>
      <c r="C3342" s="341" t="s">
        <v>5334</v>
      </c>
    </row>
    <row r="3343" spans="1:3" x14ac:dyDescent="0.2">
      <c r="A3343" s="333">
        <v>39033974800</v>
      </c>
      <c r="B3343" t="s">
        <v>384</v>
      </c>
      <c r="C3343" s="341" t="s">
        <v>4330</v>
      </c>
    </row>
    <row r="3344" spans="1:3" x14ac:dyDescent="0.2">
      <c r="A3344" s="333">
        <v>39033974900</v>
      </c>
      <c r="B3344" t="s">
        <v>385</v>
      </c>
      <c r="C3344" s="341" t="s">
        <v>5334</v>
      </c>
    </row>
    <row r="3345" spans="1:3" x14ac:dyDescent="0.2">
      <c r="A3345" s="333">
        <v>39033975000</v>
      </c>
      <c r="B3345" t="s">
        <v>386</v>
      </c>
      <c r="C3345" s="341" t="s">
        <v>5334</v>
      </c>
    </row>
    <row r="3346" spans="1:3" x14ac:dyDescent="0.2">
      <c r="A3346" s="333">
        <v>39033975100</v>
      </c>
      <c r="B3346" t="s">
        <v>387</v>
      </c>
      <c r="C3346" s="341" t="s">
        <v>5334</v>
      </c>
    </row>
    <row r="3347" spans="1:3" x14ac:dyDescent="0.2">
      <c r="A3347" s="333">
        <v>39033975200</v>
      </c>
      <c r="B3347" t="s">
        <v>388</v>
      </c>
      <c r="C3347" s="341" t="s">
        <v>5334</v>
      </c>
    </row>
    <row r="3348" spans="1:3" x14ac:dyDescent="0.2">
      <c r="A3348" s="333">
        <v>39033975300</v>
      </c>
      <c r="B3348" t="s">
        <v>389</v>
      </c>
      <c r="C3348" s="341" t="s">
        <v>4330</v>
      </c>
    </row>
    <row r="3349" spans="1:3" x14ac:dyDescent="0.2">
      <c r="A3349" s="333">
        <v>39035101101</v>
      </c>
      <c r="B3349" t="s">
        <v>390</v>
      </c>
      <c r="C3349" s="341" t="s">
        <v>4330</v>
      </c>
    </row>
    <row r="3350" spans="1:3" x14ac:dyDescent="0.2">
      <c r="A3350" s="333">
        <v>39035101102</v>
      </c>
      <c r="B3350" t="s">
        <v>391</v>
      </c>
      <c r="C3350" s="341" t="s">
        <v>5334</v>
      </c>
    </row>
    <row r="3351" spans="1:3" x14ac:dyDescent="0.2">
      <c r="A3351" s="333">
        <v>39035101201</v>
      </c>
      <c r="B3351" t="s">
        <v>5390</v>
      </c>
      <c r="C3351" s="341" t="s">
        <v>4330</v>
      </c>
    </row>
    <row r="3352" spans="1:3" x14ac:dyDescent="0.2">
      <c r="A3352" s="333">
        <v>39035101300</v>
      </c>
      <c r="B3352" t="s">
        <v>393</v>
      </c>
      <c r="C3352" s="341" t="s">
        <v>4330</v>
      </c>
    </row>
    <row r="3353" spans="1:3" x14ac:dyDescent="0.2">
      <c r="A3353" s="333">
        <v>39035101400</v>
      </c>
      <c r="B3353" t="s">
        <v>394</v>
      </c>
      <c r="C3353" s="341" t="s">
        <v>4330</v>
      </c>
    </row>
    <row r="3354" spans="1:3" x14ac:dyDescent="0.2">
      <c r="A3354" s="333">
        <v>39035101501</v>
      </c>
      <c r="B3354" t="s">
        <v>395</v>
      </c>
      <c r="C3354" s="341" t="s">
        <v>4330</v>
      </c>
    </row>
    <row r="3355" spans="1:3" x14ac:dyDescent="0.2">
      <c r="A3355" s="333">
        <v>39035101603</v>
      </c>
      <c r="B3355" t="s">
        <v>396</v>
      </c>
      <c r="C3355" s="341" t="s">
        <v>4330</v>
      </c>
    </row>
    <row r="3356" spans="1:3" x14ac:dyDescent="0.2">
      <c r="A3356" s="333">
        <v>39035101700</v>
      </c>
      <c r="B3356" t="s">
        <v>397</v>
      </c>
      <c r="C3356" s="341" t="s">
        <v>4330</v>
      </c>
    </row>
    <row r="3357" spans="1:3" x14ac:dyDescent="0.2">
      <c r="A3357" s="333">
        <v>39035101800</v>
      </c>
      <c r="B3357" t="s">
        <v>398</v>
      </c>
      <c r="C3357" s="341" t="s">
        <v>4330</v>
      </c>
    </row>
    <row r="3358" spans="1:3" x14ac:dyDescent="0.2">
      <c r="A3358" s="333">
        <v>39035101901</v>
      </c>
      <c r="B3358" t="s">
        <v>399</v>
      </c>
      <c r="C3358" s="341" t="s">
        <v>4330</v>
      </c>
    </row>
    <row r="3359" spans="1:3" x14ac:dyDescent="0.2">
      <c r="A3359" s="333">
        <v>39035102101</v>
      </c>
      <c r="B3359" t="s">
        <v>400</v>
      </c>
      <c r="C3359" s="341" t="s">
        <v>4330</v>
      </c>
    </row>
    <row r="3360" spans="1:3" x14ac:dyDescent="0.2">
      <c r="A3360" s="333">
        <v>39035102102</v>
      </c>
      <c r="B3360" t="s">
        <v>401</v>
      </c>
      <c r="C3360" s="341" t="s">
        <v>4330</v>
      </c>
    </row>
    <row r="3361" spans="1:3" x14ac:dyDescent="0.2">
      <c r="A3361" s="333">
        <v>39035102200</v>
      </c>
      <c r="B3361" t="s">
        <v>402</v>
      </c>
      <c r="C3361" s="341" t="s">
        <v>5334</v>
      </c>
    </row>
    <row r="3362" spans="1:3" x14ac:dyDescent="0.2">
      <c r="A3362" s="333">
        <v>39035102300</v>
      </c>
      <c r="B3362" t="s">
        <v>403</v>
      </c>
      <c r="C3362" s="341" t="s">
        <v>4330</v>
      </c>
    </row>
    <row r="3363" spans="1:3" x14ac:dyDescent="0.2">
      <c r="A3363" s="333">
        <v>39035102401</v>
      </c>
      <c r="B3363" t="s">
        <v>404</v>
      </c>
      <c r="C3363" s="341" t="s">
        <v>4330</v>
      </c>
    </row>
    <row r="3364" spans="1:3" x14ac:dyDescent="0.2">
      <c r="A3364" s="333">
        <v>39035102402</v>
      </c>
      <c r="B3364" t="s">
        <v>405</v>
      </c>
      <c r="C3364" s="341" t="s">
        <v>4330</v>
      </c>
    </row>
    <row r="3365" spans="1:3" x14ac:dyDescent="0.2">
      <c r="A3365" s="333">
        <v>39035102700</v>
      </c>
      <c r="B3365" t="s">
        <v>406</v>
      </c>
      <c r="C3365" s="341" t="s">
        <v>4330</v>
      </c>
    </row>
    <row r="3366" spans="1:3" x14ac:dyDescent="0.2">
      <c r="A3366" s="333">
        <v>39035102800</v>
      </c>
      <c r="B3366" t="s">
        <v>407</v>
      </c>
      <c r="C3366" s="341" t="s">
        <v>4330</v>
      </c>
    </row>
    <row r="3367" spans="1:3" x14ac:dyDescent="0.2">
      <c r="A3367" s="333">
        <v>39035102900</v>
      </c>
      <c r="B3367" t="s">
        <v>408</v>
      </c>
      <c r="C3367" s="341" t="s">
        <v>4330</v>
      </c>
    </row>
    <row r="3368" spans="1:3" x14ac:dyDescent="0.2">
      <c r="A3368" s="333">
        <v>39035103300</v>
      </c>
      <c r="B3368" t="s">
        <v>410</v>
      </c>
      <c r="C3368" s="341" t="s">
        <v>4330</v>
      </c>
    </row>
    <row r="3369" spans="1:3" x14ac:dyDescent="0.2">
      <c r="A3369" s="333">
        <v>39035103500</v>
      </c>
      <c r="B3369" t="s">
        <v>412</v>
      </c>
      <c r="C3369" s="341" t="s">
        <v>5334</v>
      </c>
    </row>
    <row r="3370" spans="1:3" x14ac:dyDescent="0.2">
      <c r="A3370" s="333">
        <v>39035103602</v>
      </c>
      <c r="B3370" t="s">
        <v>413</v>
      </c>
      <c r="C3370" s="341" t="s">
        <v>5334</v>
      </c>
    </row>
    <row r="3371" spans="1:3" x14ac:dyDescent="0.2">
      <c r="A3371" s="333">
        <v>39035103800</v>
      </c>
      <c r="B3371" t="s">
        <v>414</v>
      </c>
      <c r="C3371" s="341" t="s">
        <v>4330</v>
      </c>
    </row>
    <row r="3372" spans="1:3" x14ac:dyDescent="0.2">
      <c r="A3372" s="333">
        <v>39035104400</v>
      </c>
      <c r="B3372" t="s">
        <v>419</v>
      </c>
      <c r="C3372" s="341" t="s">
        <v>5334</v>
      </c>
    </row>
    <row r="3373" spans="1:3" x14ac:dyDescent="0.2">
      <c r="A3373" s="333">
        <v>39035104800</v>
      </c>
      <c r="B3373" t="s">
        <v>421</v>
      </c>
      <c r="C3373" s="341" t="s">
        <v>4330</v>
      </c>
    </row>
    <row r="3374" spans="1:3" x14ac:dyDescent="0.2">
      <c r="A3374" s="333">
        <v>39035105100</v>
      </c>
      <c r="B3374" t="s">
        <v>423</v>
      </c>
      <c r="C3374" s="341" t="s">
        <v>4330</v>
      </c>
    </row>
    <row r="3375" spans="1:3" x14ac:dyDescent="0.2">
      <c r="A3375" s="333">
        <v>39035105300</v>
      </c>
      <c r="B3375" t="s">
        <v>424</v>
      </c>
      <c r="C3375" s="341" t="s">
        <v>4330</v>
      </c>
    </row>
    <row r="3376" spans="1:3" x14ac:dyDescent="0.2">
      <c r="A3376" s="333">
        <v>39035105400</v>
      </c>
      <c r="B3376" t="s">
        <v>425</v>
      </c>
      <c r="C3376" s="341" t="s">
        <v>4330</v>
      </c>
    </row>
    <row r="3377" spans="1:3" x14ac:dyDescent="0.2">
      <c r="A3377" s="333">
        <v>39035105500</v>
      </c>
      <c r="B3377" t="s">
        <v>426</v>
      </c>
      <c r="C3377" s="341" t="s">
        <v>4330</v>
      </c>
    </row>
    <row r="3378" spans="1:3" x14ac:dyDescent="0.2">
      <c r="A3378" s="333">
        <v>39035105602</v>
      </c>
      <c r="B3378" t="s">
        <v>427</v>
      </c>
      <c r="C3378" s="341" t="s">
        <v>4330</v>
      </c>
    </row>
    <row r="3379" spans="1:3" x14ac:dyDescent="0.2">
      <c r="A3379" s="333">
        <v>39035105700</v>
      </c>
      <c r="B3379" t="s">
        <v>428</v>
      </c>
      <c r="C3379" s="341" t="s">
        <v>4330</v>
      </c>
    </row>
    <row r="3380" spans="1:3" x14ac:dyDescent="0.2">
      <c r="A3380" s="333">
        <v>39035105900</v>
      </c>
      <c r="B3380" t="s">
        <v>429</v>
      </c>
      <c r="C3380" s="341" t="s">
        <v>5334</v>
      </c>
    </row>
    <row r="3381" spans="1:3" x14ac:dyDescent="0.2">
      <c r="A3381" s="333">
        <v>39035106100</v>
      </c>
      <c r="B3381" t="s">
        <v>430</v>
      </c>
      <c r="C3381" s="341" t="s">
        <v>5334</v>
      </c>
    </row>
    <row r="3382" spans="1:3" x14ac:dyDescent="0.2">
      <c r="A3382" s="333">
        <v>39035106200</v>
      </c>
      <c r="B3382" t="s">
        <v>431</v>
      </c>
      <c r="C3382" s="341" t="s">
        <v>5334</v>
      </c>
    </row>
    <row r="3383" spans="1:3" x14ac:dyDescent="0.2">
      <c r="A3383" s="333">
        <v>39035106500</v>
      </c>
      <c r="B3383" t="s">
        <v>434</v>
      </c>
      <c r="C3383" s="341" t="s">
        <v>5334</v>
      </c>
    </row>
    <row r="3384" spans="1:3" x14ac:dyDescent="0.2">
      <c r="A3384" s="333">
        <v>39035106600</v>
      </c>
      <c r="B3384" t="s">
        <v>435</v>
      </c>
      <c r="C3384" s="341" t="s">
        <v>5334</v>
      </c>
    </row>
    <row r="3385" spans="1:3" x14ac:dyDescent="0.2">
      <c r="A3385" s="333">
        <v>39035106800</v>
      </c>
      <c r="B3385" t="s">
        <v>436</v>
      </c>
      <c r="C3385" s="341" t="s">
        <v>4330</v>
      </c>
    </row>
    <row r="3386" spans="1:3" x14ac:dyDescent="0.2">
      <c r="A3386" s="333">
        <v>39035106900</v>
      </c>
      <c r="B3386" t="s">
        <v>437</v>
      </c>
      <c r="C3386" s="341" t="s">
        <v>5334</v>
      </c>
    </row>
    <row r="3387" spans="1:3" x14ac:dyDescent="0.2">
      <c r="A3387" s="333">
        <v>39035107000</v>
      </c>
      <c r="B3387" t="s">
        <v>438</v>
      </c>
      <c r="C3387" s="341" t="s">
        <v>5334</v>
      </c>
    </row>
    <row r="3388" spans="1:3" x14ac:dyDescent="0.2">
      <c r="A3388" s="333">
        <v>39035107101</v>
      </c>
      <c r="B3388" t="s">
        <v>439</v>
      </c>
      <c r="C3388" s="341" t="s">
        <v>5334</v>
      </c>
    </row>
    <row r="3389" spans="1:3" x14ac:dyDescent="0.2">
      <c r="A3389" s="333">
        <v>39035107701</v>
      </c>
      <c r="B3389" t="s">
        <v>440</v>
      </c>
      <c r="C3389" s="341" t="s">
        <v>5334</v>
      </c>
    </row>
    <row r="3390" spans="1:3" x14ac:dyDescent="0.2">
      <c r="A3390" s="333">
        <v>39035107802</v>
      </c>
      <c r="B3390" t="s">
        <v>441</v>
      </c>
      <c r="C3390" s="341" t="s">
        <v>4330</v>
      </c>
    </row>
    <row r="3391" spans="1:3" x14ac:dyDescent="0.2">
      <c r="A3391" s="333">
        <v>39035108201</v>
      </c>
      <c r="B3391" t="s">
        <v>442</v>
      </c>
      <c r="C3391" s="341" t="s">
        <v>4330</v>
      </c>
    </row>
    <row r="3392" spans="1:3" x14ac:dyDescent="0.2">
      <c r="A3392" s="333">
        <v>39035108301</v>
      </c>
      <c r="B3392" t="s">
        <v>443</v>
      </c>
      <c r="C3392" s="341" t="s">
        <v>4330</v>
      </c>
    </row>
    <row r="3393" spans="1:3" x14ac:dyDescent="0.2">
      <c r="A3393" s="333">
        <v>39035108400</v>
      </c>
      <c r="B3393" t="s">
        <v>444</v>
      </c>
      <c r="C3393" s="341" t="s">
        <v>4330</v>
      </c>
    </row>
    <row r="3394" spans="1:3" x14ac:dyDescent="0.2">
      <c r="A3394" s="333">
        <v>39035108701</v>
      </c>
      <c r="B3394" t="s">
        <v>445</v>
      </c>
      <c r="C3394" s="341" t="s">
        <v>4330</v>
      </c>
    </row>
    <row r="3395" spans="1:3" x14ac:dyDescent="0.2">
      <c r="A3395" s="333">
        <v>39035109301</v>
      </c>
      <c r="B3395" t="s">
        <v>446</v>
      </c>
      <c r="C3395" s="341" t="s">
        <v>4330</v>
      </c>
    </row>
    <row r="3396" spans="1:3" x14ac:dyDescent="0.2">
      <c r="A3396" s="333">
        <v>39035109701</v>
      </c>
      <c r="B3396" t="s">
        <v>447</v>
      </c>
      <c r="C3396" s="341" t="s">
        <v>4330</v>
      </c>
    </row>
    <row r="3397" spans="1:3" x14ac:dyDescent="0.2">
      <c r="A3397" s="333">
        <v>39035109801</v>
      </c>
      <c r="B3397" t="s">
        <v>448</v>
      </c>
      <c r="C3397" s="341" t="s">
        <v>4330</v>
      </c>
    </row>
    <row r="3398" spans="1:3" x14ac:dyDescent="0.2">
      <c r="A3398" s="333">
        <v>39035110901</v>
      </c>
      <c r="B3398" t="s">
        <v>451</v>
      </c>
      <c r="C3398" s="341" t="s">
        <v>4330</v>
      </c>
    </row>
    <row r="3399" spans="1:3" x14ac:dyDescent="0.2">
      <c r="A3399" s="333">
        <v>39035111202</v>
      </c>
      <c r="B3399" t="s">
        <v>452</v>
      </c>
      <c r="C3399" s="341" t="s">
        <v>4330</v>
      </c>
    </row>
    <row r="3400" spans="1:3" x14ac:dyDescent="0.2">
      <c r="A3400" s="333">
        <v>39035111401</v>
      </c>
      <c r="B3400" t="s">
        <v>453</v>
      </c>
      <c r="C3400" s="341" t="s">
        <v>4330</v>
      </c>
    </row>
    <row r="3401" spans="1:3" x14ac:dyDescent="0.2">
      <c r="A3401" s="333">
        <v>39035111700</v>
      </c>
      <c r="B3401" t="s">
        <v>456</v>
      </c>
      <c r="C3401" s="341" t="s">
        <v>4330</v>
      </c>
    </row>
    <row r="3402" spans="1:3" x14ac:dyDescent="0.2">
      <c r="A3402" s="333">
        <v>39035112100</v>
      </c>
      <c r="B3402" t="s">
        <v>459</v>
      </c>
      <c r="C3402" s="341" t="s">
        <v>4330</v>
      </c>
    </row>
    <row r="3403" spans="1:3" x14ac:dyDescent="0.2">
      <c r="A3403" s="333">
        <v>39035112200</v>
      </c>
      <c r="B3403" t="s">
        <v>460</v>
      </c>
      <c r="C3403" s="341" t="s">
        <v>4330</v>
      </c>
    </row>
    <row r="3404" spans="1:3" x14ac:dyDescent="0.2">
      <c r="A3404" s="333">
        <v>39035112301</v>
      </c>
      <c r="B3404" t="s">
        <v>461</v>
      </c>
      <c r="C3404" s="341" t="s">
        <v>4330</v>
      </c>
    </row>
    <row r="3405" spans="1:3" x14ac:dyDescent="0.2">
      <c r="A3405" s="333">
        <v>39035114501</v>
      </c>
      <c r="B3405" t="s">
        <v>472</v>
      </c>
      <c r="C3405" s="341" t="s">
        <v>4330</v>
      </c>
    </row>
    <row r="3406" spans="1:3" x14ac:dyDescent="0.2">
      <c r="A3406" s="333">
        <v>39035114600</v>
      </c>
      <c r="B3406" t="s">
        <v>473</v>
      </c>
      <c r="C3406" s="341" t="s">
        <v>4330</v>
      </c>
    </row>
    <row r="3407" spans="1:3" x14ac:dyDescent="0.2">
      <c r="A3407" s="333">
        <v>39035114800</v>
      </c>
      <c r="B3407" t="s">
        <v>5391</v>
      </c>
      <c r="C3407" s="341" t="s">
        <v>4330</v>
      </c>
    </row>
    <row r="3408" spans="1:3" x14ac:dyDescent="0.2">
      <c r="A3408" s="333">
        <v>39035115400</v>
      </c>
      <c r="B3408" t="s">
        <v>479</v>
      </c>
      <c r="C3408" s="341" t="s">
        <v>4330</v>
      </c>
    </row>
    <row r="3409" spans="1:3" x14ac:dyDescent="0.2">
      <c r="A3409" s="333">
        <v>39035115700</v>
      </c>
      <c r="B3409" t="s">
        <v>480</v>
      </c>
      <c r="C3409" s="341" t="s">
        <v>4330</v>
      </c>
    </row>
    <row r="3410" spans="1:3" x14ac:dyDescent="0.2">
      <c r="A3410" s="333">
        <v>39035115800</v>
      </c>
      <c r="B3410" t="s">
        <v>481</v>
      </c>
      <c r="C3410" s="341" t="s">
        <v>4330</v>
      </c>
    </row>
    <row r="3411" spans="1:3" x14ac:dyDescent="0.2">
      <c r="A3411" s="333">
        <v>39035115900</v>
      </c>
      <c r="B3411" t="s">
        <v>482</v>
      </c>
      <c r="C3411" s="341" t="s">
        <v>4330</v>
      </c>
    </row>
    <row r="3412" spans="1:3" x14ac:dyDescent="0.2">
      <c r="A3412" s="333">
        <v>39035116300</v>
      </c>
      <c r="B3412" t="s">
        <v>485</v>
      </c>
      <c r="C3412" s="341" t="s">
        <v>4330</v>
      </c>
    </row>
    <row r="3413" spans="1:3" x14ac:dyDescent="0.2">
      <c r="A3413" s="333">
        <v>39035116400</v>
      </c>
      <c r="B3413" t="s">
        <v>486</v>
      </c>
      <c r="C3413" s="341" t="s">
        <v>4330</v>
      </c>
    </row>
    <row r="3414" spans="1:3" x14ac:dyDescent="0.2">
      <c r="A3414" s="333">
        <v>39035116500</v>
      </c>
      <c r="B3414" t="s">
        <v>487</v>
      </c>
      <c r="C3414" s="341" t="s">
        <v>4330</v>
      </c>
    </row>
    <row r="3415" spans="1:3" x14ac:dyDescent="0.2">
      <c r="A3415" s="333">
        <v>39035116600</v>
      </c>
      <c r="B3415" t="s">
        <v>488</v>
      </c>
      <c r="C3415" s="341" t="s">
        <v>4330</v>
      </c>
    </row>
    <row r="3416" spans="1:3" x14ac:dyDescent="0.2">
      <c r="A3416" s="333">
        <v>39035116700</v>
      </c>
      <c r="B3416" t="s">
        <v>489</v>
      </c>
      <c r="C3416" s="341" t="s">
        <v>4330</v>
      </c>
    </row>
    <row r="3417" spans="1:3" x14ac:dyDescent="0.2">
      <c r="A3417" s="333">
        <v>39035116800</v>
      </c>
      <c r="B3417" t="s">
        <v>490</v>
      </c>
      <c r="C3417" s="341" t="s">
        <v>4330</v>
      </c>
    </row>
    <row r="3418" spans="1:3" x14ac:dyDescent="0.2">
      <c r="A3418" s="333">
        <v>39035116900</v>
      </c>
      <c r="B3418" t="s">
        <v>491</v>
      </c>
      <c r="C3418" s="341" t="s">
        <v>4330</v>
      </c>
    </row>
    <row r="3419" spans="1:3" x14ac:dyDescent="0.2">
      <c r="A3419" s="333">
        <v>39035117101</v>
      </c>
      <c r="B3419" t="s">
        <v>492</v>
      </c>
      <c r="C3419" s="341" t="s">
        <v>4330</v>
      </c>
    </row>
    <row r="3420" spans="1:3" x14ac:dyDescent="0.2">
      <c r="A3420" s="333">
        <v>39035117102</v>
      </c>
      <c r="B3420" t="s">
        <v>493</v>
      </c>
      <c r="C3420" s="341" t="s">
        <v>4330</v>
      </c>
    </row>
    <row r="3421" spans="1:3" x14ac:dyDescent="0.2">
      <c r="A3421" s="333">
        <v>39035117201</v>
      </c>
      <c r="B3421" t="s">
        <v>494</v>
      </c>
      <c r="C3421" s="341" t="s">
        <v>4330</v>
      </c>
    </row>
    <row r="3422" spans="1:3" x14ac:dyDescent="0.2">
      <c r="A3422" s="333">
        <v>39035117203</v>
      </c>
      <c r="B3422" t="s">
        <v>5392</v>
      </c>
      <c r="C3422" s="341" t="s">
        <v>4330</v>
      </c>
    </row>
    <row r="3423" spans="1:3" x14ac:dyDescent="0.2">
      <c r="A3423" s="333">
        <v>39035117300</v>
      </c>
      <c r="B3423" t="s">
        <v>496</v>
      </c>
      <c r="C3423" s="341" t="s">
        <v>4330</v>
      </c>
    </row>
    <row r="3424" spans="1:3" x14ac:dyDescent="0.2">
      <c r="A3424" s="333">
        <v>39035117400</v>
      </c>
      <c r="B3424" t="s">
        <v>497</v>
      </c>
      <c r="C3424" s="341" t="s">
        <v>4330</v>
      </c>
    </row>
    <row r="3425" spans="1:3" x14ac:dyDescent="0.2">
      <c r="A3425" s="333">
        <v>39035117500</v>
      </c>
      <c r="B3425" t="s">
        <v>498</v>
      </c>
      <c r="C3425" s="341" t="s">
        <v>4330</v>
      </c>
    </row>
    <row r="3426" spans="1:3" x14ac:dyDescent="0.2">
      <c r="A3426" s="333">
        <v>39035117600</v>
      </c>
      <c r="B3426" t="s">
        <v>499</v>
      </c>
      <c r="C3426" s="341" t="s">
        <v>4330</v>
      </c>
    </row>
    <row r="3427" spans="1:3" x14ac:dyDescent="0.2">
      <c r="A3427" s="333">
        <v>39035117700</v>
      </c>
      <c r="B3427" t="s">
        <v>500</v>
      </c>
      <c r="C3427" s="341" t="s">
        <v>4330</v>
      </c>
    </row>
    <row r="3428" spans="1:3" x14ac:dyDescent="0.2">
      <c r="A3428" s="333">
        <v>39035117800</v>
      </c>
      <c r="B3428" t="s">
        <v>501</v>
      </c>
      <c r="C3428" s="341" t="s">
        <v>4330</v>
      </c>
    </row>
    <row r="3429" spans="1:3" x14ac:dyDescent="0.2">
      <c r="A3429" s="333">
        <v>39035117900</v>
      </c>
      <c r="B3429" t="s">
        <v>502</v>
      </c>
      <c r="C3429" s="341" t="s">
        <v>4330</v>
      </c>
    </row>
    <row r="3430" spans="1:3" x14ac:dyDescent="0.2">
      <c r="A3430" s="333">
        <v>39035118101</v>
      </c>
      <c r="B3430" t="s">
        <v>503</v>
      </c>
      <c r="C3430" s="341" t="s">
        <v>4330</v>
      </c>
    </row>
    <row r="3431" spans="1:3" x14ac:dyDescent="0.2">
      <c r="A3431" s="333">
        <v>39035118200</v>
      </c>
      <c r="B3431" t="s">
        <v>504</v>
      </c>
      <c r="C3431" s="341" t="s">
        <v>4330</v>
      </c>
    </row>
    <row r="3432" spans="1:3" x14ac:dyDescent="0.2">
      <c r="A3432" s="333">
        <v>39035118301</v>
      </c>
      <c r="B3432" t="s">
        <v>505</v>
      </c>
      <c r="C3432" s="341" t="s">
        <v>4330</v>
      </c>
    </row>
    <row r="3433" spans="1:3" x14ac:dyDescent="0.2">
      <c r="A3433" s="333">
        <v>39035118602</v>
      </c>
      <c r="B3433" t="s">
        <v>508</v>
      </c>
      <c r="C3433" s="341" t="s">
        <v>4330</v>
      </c>
    </row>
    <row r="3434" spans="1:3" x14ac:dyDescent="0.2">
      <c r="A3434" s="333">
        <v>39035118800</v>
      </c>
      <c r="B3434" t="s">
        <v>510</v>
      </c>
      <c r="C3434" s="341" t="s">
        <v>4330</v>
      </c>
    </row>
    <row r="3435" spans="1:3" x14ac:dyDescent="0.2">
      <c r="A3435" s="333">
        <v>39035118900</v>
      </c>
      <c r="B3435" t="s">
        <v>511</v>
      </c>
      <c r="C3435" s="341" t="s">
        <v>4330</v>
      </c>
    </row>
    <row r="3436" spans="1:3" x14ac:dyDescent="0.2">
      <c r="A3436" s="333">
        <v>39035119401</v>
      </c>
      <c r="B3436" t="s">
        <v>515</v>
      </c>
      <c r="C3436" s="341" t="s">
        <v>5334</v>
      </c>
    </row>
    <row r="3437" spans="1:3" x14ac:dyDescent="0.2">
      <c r="A3437" s="333">
        <v>39035119402</v>
      </c>
      <c r="B3437" t="s">
        <v>516</v>
      </c>
      <c r="C3437" s="341" t="s">
        <v>4330</v>
      </c>
    </row>
    <row r="3438" spans="1:3" x14ac:dyDescent="0.2">
      <c r="A3438" s="333">
        <v>39035119501</v>
      </c>
      <c r="B3438" t="s">
        <v>517</v>
      </c>
      <c r="C3438" s="341" t="s">
        <v>5334</v>
      </c>
    </row>
    <row r="3439" spans="1:3" x14ac:dyDescent="0.2">
      <c r="A3439" s="333">
        <v>39035119502</v>
      </c>
      <c r="B3439" t="s">
        <v>518</v>
      </c>
      <c r="C3439" s="341" t="s">
        <v>4330</v>
      </c>
    </row>
    <row r="3440" spans="1:3" x14ac:dyDescent="0.2">
      <c r="A3440" s="333">
        <v>39035119600</v>
      </c>
      <c r="B3440" t="s">
        <v>519</v>
      </c>
      <c r="C3440" s="341" t="s">
        <v>4330</v>
      </c>
    </row>
    <row r="3441" spans="1:3" x14ac:dyDescent="0.2">
      <c r="A3441" s="333">
        <v>39035119701</v>
      </c>
      <c r="B3441" t="s">
        <v>520</v>
      </c>
      <c r="C3441" s="341" t="s">
        <v>4330</v>
      </c>
    </row>
    <row r="3442" spans="1:3" x14ac:dyDescent="0.2">
      <c r="A3442" s="333">
        <v>39035119702</v>
      </c>
      <c r="B3442" t="s">
        <v>521</v>
      </c>
      <c r="C3442" s="341" t="s">
        <v>4330</v>
      </c>
    </row>
    <row r="3443" spans="1:3" x14ac:dyDescent="0.2">
      <c r="A3443" s="333">
        <v>39035119800</v>
      </c>
      <c r="B3443" t="s">
        <v>522</v>
      </c>
      <c r="C3443" s="341" t="s">
        <v>4330</v>
      </c>
    </row>
    <row r="3444" spans="1:3" x14ac:dyDescent="0.2">
      <c r="A3444" s="333">
        <v>39035119900</v>
      </c>
      <c r="B3444" t="s">
        <v>523</v>
      </c>
      <c r="C3444" s="341" t="s">
        <v>4330</v>
      </c>
    </row>
    <row r="3445" spans="1:3" x14ac:dyDescent="0.2">
      <c r="A3445" s="333">
        <v>39035120200</v>
      </c>
      <c r="B3445" t="s">
        <v>524</v>
      </c>
      <c r="C3445" s="341" t="s">
        <v>4330</v>
      </c>
    </row>
    <row r="3446" spans="1:3" x14ac:dyDescent="0.2">
      <c r="A3446" s="333">
        <v>39035120400</v>
      </c>
      <c r="B3446" t="s">
        <v>525</v>
      </c>
      <c r="C3446" s="341" t="s">
        <v>4330</v>
      </c>
    </row>
    <row r="3447" spans="1:3" x14ac:dyDescent="0.2">
      <c r="A3447" s="333">
        <v>39035120500</v>
      </c>
      <c r="B3447" t="s">
        <v>526</v>
      </c>
      <c r="C3447" s="341" t="s">
        <v>4330</v>
      </c>
    </row>
    <row r="3448" spans="1:3" x14ac:dyDescent="0.2">
      <c r="A3448" s="333">
        <v>39035120600</v>
      </c>
      <c r="B3448" t="s">
        <v>527</v>
      </c>
      <c r="C3448" s="341" t="s">
        <v>5334</v>
      </c>
    </row>
    <row r="3449" spans="1:3" x14ac:dyDescent="0.2">
      <c r="A3449" s="333">
        <v>39035120701</v>
      </c>
      <c r="B3449" t="s">
        <v>528</v>
      </c>
      <c r="C3449" s="341" t="s">
        <v>4330</v>
      </c>
    </row>
    <row r="3450" spans="1:3" x14ac:dyDescent="0.2">
      <c r="A3450" s="333">
        <v>39035120702</v>
      </c>
      <c r="B3450" t="s">
        <v>529</v>
      </c>
      <c r="C3450" s="341" t="s">
        <v>4330</v>
      </c>
    </row>
    <row r="3451" spans="1:3" x14ac:dyDescent="0.2">
      <c r="A3451" s="333">
        <v>39035120801</v>
      </c>
      <c r="B3451" t="s">
        <v>530</v>
      </c>
      <c r="C3451" s="341" t="s">
        <v>4330</v>
      </c>
    </row>
    <row r="3452" spans="1:3" x14ac:dyDescent="0.2">
      <c r="A3452" s="333">
        <v>39035120802</v>
      </c>
      <c r="B3452" t="s">
        <v>531</v>
      </c>
      <c r="C3452" s="341" t="s">
        <v>4330</v>
      </c>
    </row>
    <row r="3453" spans="1:3" x14ac:dyDescent="0.2">
      <c r="A3453" s="333">
        <v>39035121100</v>
      </c>
      <c r="B3453" t="s">
        <v>532</v>
      </c>
      <c r="C3453" s="341" t="s">
        <v>4330</v>
      </c>
    </row>
    <row r="3454" spans="1:3" x14ac:dyDescent="0.2">
      <c r="A3454" s="333">
        <v>39035121200</v>
      </c>
      <c r="B3454" t="s">
        <v>533</v>
      </c>
      <c r="C3454" s="341" t="s">
        <v>4330</v>
      </c>
    </row>
    <row r="3455" spans="1:3" x14ac:dyDescent="0.2">
      <c r="A3455" s="333">
        <v>39035121300</v>
      </c>
      <c r="B3455" t="s">
        <v>534</v>
      </c>
      <c r="C3455" s="341" t="s">
        <v>4330</v>
      </c>
    </row>
    <row r="3456" spans="1:3" x14ac:dyDescent="0.2">
      <c r="A3456" s="333">
        <v>39035121401</v>
      </c>
      <c r="B3456" t="s">
        <v>535</v>
      </c>
      <c r="C3456" s="341" t="s">
        <v>4330</v>
      </c>
    </row>
    <row r="3457" spans="1:3" x14ac:dyDescent="0.2">
      <c r="A3457" s="333">
        <v>39035121403</v>
      </c>
      <c r="B3457" t="s">
        <v>536</v>
      </c>
      <c r="C3457" s="341" t="s">
        <v>4330</v>
      </c>
    </row>
    <row r="3458" spans="1:3" x14ac:dyDescent="0.2">
      <c r="A3458" s="333">
        <v>39035121500</v>
      </c>
      <c r="B3458" t="s">
        <v>537</v>
      </c>
      <c r="C3458" s="341" t="s">
        <v>4330</v>
      </c>
    </row>
    <row r="3459" spans="1:3" x14ac:dyDescent="0.2">
      <c r="A3459" s="333">
        <v>39035121700</v>
      </c>
      <c r="B3459" t="s">
        <v>538</v>
      </c>
      <c r="C3459" s="341" t="s">
        <v>5334</v>
      </c>
    </row>
    <row r="3460" spans="1:3" x14ac:dyDescent="0.2">
      <c r="A3460" s="333">
        <v>39035121800</v>
      </c>
      <c r="B3460" t="s">
        <v>539</v>
      </c>
      <c r="C3460" s="341" t="s">
        <v>5334</v>
      </c>
    </row>
    <row r="3461" spans="1:3" x14ac:dyDescent="0.2">
      <c r="A3461" s="333">
        <v>39035121900</v>
      </c>
      <c r="B3461" t="s">
        <v>540</v>
      </c>
      <c r="C3461" s="341" t="s">
        <v>4330</v>
      </c>
    </row>
    <row r="3462" spans="1:3" x14ac:dyDescent="0.2">
      <c r="A3462" s="333">
        <v>39035122100</v>
      </c>
      <c r="B3462" t="s">
        <v>541</v>
      </c>
      <c r="C3462" s="341" t="s">
        <v>5334</v>
      </c>
    </row>
    <row r="3463" spans="1:3" x14ac:dyDescent="0.2">
      <c r="A3463" s="333">
        <v>39035122200</v>
      </c>
      <c r="B3463" t="s">
        <v>542</v>
      </c>
      <c r="C3463" s="341" t="s">
        <v>4330</v>
      </c>
    </row>
    <row r="3464" spans="1:3" x14ac:dyDescent="0.2">
      <c r="A3464" s="333">
        <v>39035122300</v>
      </c>
      <c r="B3464" t="s">
        <v>543</v>
      </c>
      <c r="C3464" s="341" t="s">
        <v>4330</v>
      </c>
    </row>
    <row r="3465" spans="1:3" x14ac:dyDescent="0.2">
      <c r="A3465" s="333">
        <v>39035123100</v>
      </c>
      <c r="B3465" t="s">
        <v>544</v>
      </c>
      <c r="C3465" s="341" t="s">
        <v>5334</v>
      </c>
    </row>
    <row r="3466" spans="1:3" x14ac:dyDescent="0.2">
      <c r="A3466" s="333">
        <v>39035123200</v>
      </c>
      <c r="B3466" t="s">
        <v>545</v>
      </c>
      <c r="C3466" s="341" t="s">
        <v>5334</v>
      </c>
    </row>
    <row r="3467" spans="1:3" x14ac:dyDescent="0.2">
      <c r="A3467" s="333">
        <v>39035123400</v>
      </c>
      <c r="B3467" t="s">
        <v>546</v>
      </c>
      <c r="C3467" s="341" t="s">
        <v>5334</v>
      </c>
    </row>
    <row r="3468" spans="1:3" x14ac:dyDescent="0.2">
      <c r="A3468" s="333">
        <v>39035123501</v>
      </c>
      <c r="B3468" t="s">
        <v>547</v>
      </c>
      <c r="C3468" s="341" t="s">
        <v>4330</v>
      </c>
    </row>
    <row r="3469" spans="1:3" x14ac:dyDescent="0.2">
      <c r="A3469" s="333">
        <v>39035123502</v>
      </c>
      <c r="B3469" t="s">
        <v>548</v>
      </c>
      <c r="C3469" s="341" t="s">
        <v>4330</v>
      </c>
    </row>
    <row r="3470" spans="1:3" x14ac:dyDescent="0.2">
      <c r="A3470" s="333">
        <v>39035123601</v>
      </c>
      <c r="B3470" t="s">
        <v>549</v>
      </c>
      <c r="C3470" s="341" t="s">
        <v>5334</v>
      </c>
    </row>
    <row r="3471" spans="1:3" x14ac:dyDescent="0.2">
      <c r="A3471" s="333">
        <v>39035123602</v>
      </c>
      <c r="B3471" t="s">
        <v>550</v>
      </c>
      <c r="C3471" s="341" t="s">
        <v>5334</v>
      </c>
    </row>
    <row r="3472" spans="1:3" x14ac:dyDescent="0.2">
      <c r="A3472" s="333">
        <v>39035123603</v>
      </c>
      <c r="B3472" t="s">
        <v>551</v>
      </c>
      <c r="C3472" s="341" t="s">
        <v>5334</v>
      </c>
    </row>
    <row r="3473" spans="1:3" x14ac:dyDescent="0.2">
      <c r="A3473" s="333">
        <v>39035123700</v>
      </c>
      <c r="B3473" t="s">
        <v>552</v>
      </c>
      <c r="C3473" s="341" t="s">
        <v>5334</v>
      </c>
    </row>
    <row r="3474" spans="1:3" x14ac:dyDescent="0.2">
      <c r="A3474" s="333">
        <v>39035123800</v>
      </c>
      <c r="B3474" t="s">
        <v>553</v>
      </c>
      <c r="C3474" s="341" t="s">
        <v>4330</v>
      </c>
    </row>
    <row r="3475" spans="1:3" x14ac:dyDescent="0.2">
      <c r="A3475" s="333">
        <v>39035123900</v>
      </c>
      <c r="B3475" t="s">
        <v>554</v>
      </c>
      <c r="C3475" s="341" t="s">
        <v>5334</v>
      </c>
    </row>
    <row r="3476" spans="1:3" x14ac:dyDescent="0.2">
      <c r="A3476" s="333">
        <v>39035124100</v>
      </c>
      <c r="B3476" t="s">
        <v>555</v>
      </c>
      <c r="C3476" s="341" t="s">
        <v>5334</v>
      </c>
    </row>
    <row r="3477" spans="1:3" x14ac:dyDescent="0.2">
      <c r="A3477" s="333">
        <v>39035124201</v>
      </c>
      <c r="B3477" t="s">
        <v>556</v>
      </c>
      <c r="C3477" s="341" t="s">
        <v>4330</v>
      </c>
    </row>
    <row r="3478" spans="1:3" x14ac:dyDescent="0.2">
      <c r="A3478" s="333">
        <v>39035124202</v>
      </c>
      <c r="B3478" t="s">
        <v>557</v>
      </c>
      <c r="C3478" s="341" t="s">
        <v>4330</v>
      </c>
    </row>
    <row r="3479" spans="1:3" x14ac:dyDescent="0.2">
      <c r="A3479" s="333">
        <v>39035124300</v>
      </c>
      <c r="B3479" t="s">
        <v>558</v>
      </c>
      <c r="C3479" s="341" t="s">
        <v>5334</v>
      </c>
    </row>
    <row r="3480" spans="1:3" x14ac:dyDescent="0.2">
      <c r="A3480" s="333">
        <v>39035124500</v>
      </c>
      <c r="B3480" t="s">
        <v>559</v>
      </c>
      <c r="C3480" s="341" t="s">
        <v>4330</v>
      </c>
    </row>
    <row r="3481" spans="1:3" x14ac:dyDescent="0.2">
      <c r="A3481" s="333">
        <v>39035124600</v>
      </c>
      <c r="B3481" t="s">
        <v>560</v>
      </c>
      <c r="C3481" s="341" t="s">
        <v>4330</v>
      </c>
    </row>
    <row r="3482" spans="1:3" x14ac:dyDescent="0.2">
      <c r="A3482" s="333">
        <v>39035126100</v>
      </c>
      <c r="B3482" t="s">
        <v>561</v>
      </c>
      <c r="C3482" s="341" t="s">
        <v>4330</v>
      </c>
    </row>
    <row r="3483" spans="1:3" x14ac:dyDescent="0.2">
      <c r="A3483" s="333">
        <v>39035127501</v>
      </c>
      <c r="B3483" t="s">
        <v>562</v>
      </c>
      <c r="C3483" s="341" t="s">
        <v>4330</v>
      </c>
    </row>
    <row r="3484" spans="1:3" x14ac:dyDescent="0.2">
      <c r="A3484" s="333">
        <v>39035130103</v>
      </c>
      <c r="B3484" t="s">
        <v>563</v>
      </c>
      <c r="C3484" s="341" t="s">
        <v>5334</v>
      </c>
    </row>
    <row r="3485" spans="1:3" x14ac:dyDescent="0.2">
      <c r="A3485" s="333">
        <v>39035130104</v>
      </c>
      <c r="B3485" t="s">
        <v>564</v>
      </c>
      <c r="C3485" s="341" t="s">
        <v>5334</v>
      </c>
    </row>
    <row r="3486" spans="1:3" x14ac:dyDescent="0.2">
      <c r="A3486" s="333">
        <v>39035130105</v>
      </c>
      <c r="B3486" t="s">
        <v>565</v>
      </c>
      <c r="C3486" s="341" t="s">
        <v>5334</v>
      </c>
    </row>
    <row r="3487" spans="1:3" x14ac:dyDescent="0.2">
      <c r="A3487" s="333">
        <v>39035130106</v>
      </c>
      <c r="B3487" t="s">
        <v>566</v>
      </c>
      <c r="C3487" s="341" t="s">
        <v>5334</v>
      </c>
    </row>
    <row r="3488" spans="1:3" x14ac:dyDescent="0.2">
      <c r="A3488" s="333">
        <v>39035131103</v>
      </c>
      <c r="B3488" t="s">
        <v>568</v>
      </c>
      <c r="C3488" s="341" t="s">
        <v>5334</v>
      </c>
    </row>
    <row r="3489" spans="1:3" x14ac:dyDescent="0.2">
      <c r="A3489" s="333">
        <v>39035131104</v>
      </c>
      <c r="B3489" t="s">
        <v>569</v>
      </c>
      <c r="C3489" s="341" t="s">
        <v>5334</v>
      </c>
    </row>
    <row r="3490" spans="1:3" x14ac:dyDescent="0.2">
      <c r="A3490" s="333">
        <v>39035131105</v>
      </c>
      <c r="B3490" t="s">
        <v>5393</v>
      </c>
      <c r="C3490" s="341" t="s">
        <v>5334</v>
      </c>
    </row>
    <row r="3491" spans="1:3" x14ac:dyDescent="0.2">
      <c r="A3491" s="333">
        <v>39035132100</v>
      </c>
      <c r="B3491" t="s">
        <v>570</v>
      </c>
      <c r="C3491" s="341" t="s">
        <v>5334</v>
      </c>
    </row>
    <row r="3492" spans="1:3" x14ac:dyDescent="0.2">
      <c r="A3492" s="333">
        <v>39035132200</v>
      </c>
      <c r="B3492" t="s">
        <v>571</v>
      </c>
      <c r="C3492" s="341" t="s">
        <v>5334</v>
      </c>
    </row>
    <row r="3493" spans="1:3" x14ac:dyDescent="0.2">
      <c r="A3493" s="333">
        <v>39035132301</v>
      </c>
      <c r="B3493" t="s">
        <v>572</v>
      </c>
      <c r="C3493" s="341" t="s">
        <v>5334</v>
      </c>
    </row>
    <row r="3494" spans="1:3" x14ac:dyDescent="0.2">
      <c r="A3494" s="333">
        <v>39035132302</v>
      </c>
      <c r="B3494" t="s">
        <v>573</v>
      </c>
      <c r="C3494" s="341" t="s">
        <v>5334</v>
      </c>
    </row>
    <row r="3495" spans="1:3" x14ac:dyDescent="0.2">
      <c r="A3495" s="333">
        <v>39035133103</v>
      </c>
      <c r="B3495" t="s">
        <v>574</v>
      </c>
      <c r="C3495" s="341" t="s">
        <v>5334</v>
      </c>
    </row>
    <row r="3496" spans="1:3" x14ac:dyDescent="0.2">
      <c r="A3496" s="333">
        <v>39035133104</v>
      </c>
      <c r="B3496" t="s">
        <v>575</v>
      </c>
      <c r="C3496" s="341" t="s">
        <v>4330</v>
      </c>
    </row>
    <row r="3497" spans="1:3" x14ac:dyDescent="0.2">
      <c r="A3497" s="333">
        <v>39035134100</v>
      </c>
      <c r="B3497" t="s">
        <v>576</v>
      </c>
      <c r="C3497" s="341" t="s">
        <v>5334</v>
      </c>
    </row>
    <row r="3498" spans="1:3" x14ac:dyDescent="0.2">
      <c r="A3498" s="333">
        <v>39035134203</v>
      </c>
      <c r="B3498" t="s">
        <v>577</v>
      </c>
      <c r="C3498" s="341" t="s">
        <v>5334</v>
      </c>
    </row>
    <row r="3499" spans="1:3" x14ac:dyDescent="0.2">
      <c r="A3499" s="333">
        <v>39035134204</v>
      </c>
      <c r="B3499" t="s">
        <v>578</v>
      </c>
      <c r="C3499" s="341" t="s">
        <v>5334</v>
      </c>
    </row>
    <row r="3500" spans="1:3" x14ac:dyDescent="0.2">
      <c r="A3500" s="333">
        <v>39035134205</v>
      </c>
      <c r="B3500" t="s">
        <v>579</v>
      </c>
      <c r="C3500" s="341" t="s">
        <v>5334</v>
      </c>
    </row>
    <row r="3501" spans="1:3" x14ac:dyDescent="0.2">
      <c r="A3501" s="333">
        <v>39035134206</v>
      </c>
      <c r="B3501" t="s">
        <v>580</v>
      </c>
      <c r="C3501" s="341" t="s">
        <v>5334</v>
      </c>
    </row>
    <row r="3502" spans="1:3" x14ac:dyDescent="0.2">
      <c r="A3502" s="333">
        <v>39035134300</v>
      </c>
      <c r="B3502" t="s">
        <v>581</v>
      </c>
      <c r="C3502" s="341" t="s">
        <v>5334</v>
      </c>
    </row>
    <row r="3503" spans="1:3" x14ac:dyDescent="0.2">
      <c r="A3503" s="333">
        <v>39035135103</v>
      </c>
      <c r="B3503" t="s">
        <v>582</v>
      </c>
      <c r="C3503" s="341" t="s">
        <v>5334</v>
      </c>
    </row>
    <row r="3504" spans="1:3" x14ac:dyDescent="0.2">
      <c r="A3504" s="333">
        <v>39035135104</v>
      </c>
      <c r="B3504" t="s">
        <v>583</v>
      </c>
      <c r="C3504" s="341" t="s">
        <v>5334</v>
      </c>
    </row>
    <row r="3505" spans="1:3" x14ac:dyDescent="0.2">
      <c r="A3505" s="333">
        <v>39035135105</v>
      </c>
      <c r="B3505" t="s">
        <v>584</v>
      </c>
      <c r="C3505" s="341" t="s">
        <v>5334</v>
      </c>
    </row>
    <row r="3506" spans="1:3" x14ac:dyDescent="0.2">
      <c r="A3506" s="333">
        <v>39035135106</v>
      </c>
      <c r="B3506" t="s">
        <v>585</v>
      </c>
      <c r="C3506" s="341" t="s">
        <v>5334</v>
      </c>
    </row>
    <row r="3507" spans="1:3" x14ac:dyDescent="0.2">
      <c r="A3507" s="333">
        <v>39035136101</v>
      </c>
      <c r="B3507" t="s">
        <v>586</v>
      </c>
      <c r="C3507" s="341" t="s">
        <v>5334</v>
      </c>
    </row>
    <row r="3508" spans="1:3" x14ac:dyDescent="0.2">
      <c r="A3508" s="333">
        <v>39035136103</v>
      </c>
      <c r="B3508" t="s">
        <v>588</v>
      </c>
      <c r="C3508" s="341" t="s">
        <v>5334</v>
      </c>
    </row>
    <row r="3509" spans="1:3" x14ac:dyDescent="0.2">
      <c r="A3509" s="333">
        <v>39035136104</v>
      </c>
      <c r="B3509" t="s">
        <v>5394</v>
      </c>
      <c r="C3509" s="341" t="s">
        <v>5334</v>
      </c>
    </row>
    <row r="3510" spans="1:3" x14ac:dyDescent="0.2">
      <c r="A3510" s="333">
        <v>39035136105</v>
      </c>
      <c r="B3510" t="s">
        <v>5395</v>
      </c>
      <c r="C3510" s="341" t="s">
        <v>5334</v>
      </c>
    </row>
    <row r="3511" spans="1:3" x14ac:dyDescent="0.2">
      <c r="A3511" s="333">
        <v>39035137101</v>
      </c>
      <c r="B3511" t="s">
        <v>589</v>
      </c>
      <c r="C3511" s="341" t="s">
        <v>5334</v>
      </c>
    </row>
    <row r="3512" spans="1:3" x14ac:dyDescent="0.2">
      <c r="A3512" s="333">
        <v>39035137102</v>
      </c>
      <c r="B3512" t="s">
        <v>590</v>
      </c>
      <c r="C3512" s="341" t="s">
        <v>5334</v>
      </c>
    </row>
    <row r="3513" spans="1:3" x14ac:dyDescent="0.2">
      <c r="A3513" s="333">
        <v>39035137103</v>
      </c>
      <c r="B3513" t="s">
        <v>591</v>
      </c>
      <c r="C3513" s="341" t="s">
        <v>5334</v>
      </c>
    </row>
    <row r="3514" spans="1:3" x14ac:dyDescent="0.2">
      <c r="A3514" s="333">
        <v>39035138105</v>
      </c>
      <c r="B3514" t="s">
        <v>592</v>
      </c>
      <c r="C3514" s="341" t="s">
        <v>5334</v>
      </c>
    </row>
    <row r="3515" spans="1:3" x14ac:dyDescent="0.2">
      <c r="A3515" s="333">
        <v>39035138106</v>
      </c>
      <c r="B3515" t="s">
        <v>593</v>
      </c>
      <c r="C3515" s="341" t="s">
        <v>5334</v>
      </c>
    </row>
    <row r="3516" spans="1:3" x14ac:dyDescent="0.2">
      <c r="A3516" s="333">
        <v>39035138107</v>
      </c>
      <c r="B3516" t="s">
        <v>594</v>
      </c>
      <c r="C3516" s="341" t="s">
        <v>5334</v>
      </c>
    </row>
    <row r="3517" spans="1:3" x14ac:dyDescent="0.2">
      <c r="A3517" s="333">
        <v>39035138108</v>
      </c>
      <c r="B3517" t="s">
        <v>595</v>
      </c>
      <c r="C3517" s="341" t="s">
        <v>5334</v>
      </c>
    </row>
    <row r="3518" spans="1:3" x14ac:dyDescent="0.2">
      <c r="A3518" s="333">
        <v>39035138109</v>
      </c>
      <c r="B3518" t="s">
        <v>596</v>
      </c>
      <c r="C3518" s="341" t="s">
        <v>5334</v>
      </c>
    </row>
    <row r="3519" spans="1:3" x14ac:dyDescent="0.2">
      <c r="A3519" s="333">
        <v>39035138110</v>
      </c>
      <c r="B3519" t="s">
        <v>597</v>
      </c>
      <c r="C3519" s="341" t="s">
        <v>5334</v>
      </c>
    </row>
    <row r="3520" spans="1:3" x14ac:dyDescent="0.2">
      <c r="A3520" s="333">
        <v>39035140100</v>
      </c>
      <c r="B3520" t="s">
        <v>598</v>
      </c>
      <c r="C3520" s="341" t="s">
        <v>5334</v>
      </c>
    </row>
    <row r="3521" spans="1:3" x14ac:dyDescent="0.2">
      <c r="A3521" s="333">
        <v>39035140301</v>
      </c>
      <c r="B3521" t="s">
        <v>599</v>
      </c>
      <c r="C3521" s="341" t="s">
        <v>4330</v>
      </c>
    </row>
    <row r="3522" spans="1:3" x14ac:dyDescent="0.2">
      <c r="A3522" s="333">
        <v>39035140302</v>
      </c>
      <c r="B3522" t="s">
        <v>600</v>
      </c>
      <c r="C3522" s="341" t="s">
        <v>5334</v>
      </c>
    </row>
    <row r="3523" spans="1:3" x14ac:dyDescent="0.2">
      <c r="A3523" s="333">
        <v>39035140400</v>
      </c>
      <c r="B3523" t="s">
        <v>601</v>
      </c>
      <c r="C3523" s="341" t="s">
        <v>5334</v>
      </c>
    </row>
    <row r="3524" spans="1:3" x14ac:dyDescent="0.2">
      <c r="A3524" s="333">
        <v>39035140500</v>
      </c>
      <c r="B3524" t="s">
        <v>602</v>
      </c>
      <c r="C3524" s="341" t="s">
        <v>5334</v>
      </c>
    </row>
    <row r="3525" spans="1:3" x14ac:dyDescent="0.2">
      <c r="A3525" s="333">
        <v>39035140600</v>
      </c>
      <c r="B3525" t="s">
        <v>603</v>
      </c>
      <c r="C3525" s="341" t="s">
        <v>5334</v>
      </c>
    </row>
    <row r="3526" spans="1:3" x14ac:dyDescent="0.2">
      <c r="A3526" s="333">
        <v>39035140701</v>
      </c>
      <c r="B3526" t="s">
        <v>604</v>
      </c>
      <c r="C3526" s="341" t="s">
        <v>4330</v>
      </c>
    </row>
    <row r="3527" spans="1:3" x14ac:dyDescent="0.2">
      <c r="A3527" s="333">
        <v>39035140702</v>
      </c>
      <c r="B3527" t="s">
        <v>605</v>
      </c>
      <c r="C3527" s="341" t="s">
        <v>4330</v>
      </c>
    </row>
    <row r="3528" spans="1:3" x14ac:dyDescent="0.2">
      <c r="A3528" s="333">
        <v>39035140800</v>
      </c>
      <c r="B3528" t="s">
        <v>606</v>
      </c>
      <c r="C3528" s="341" t="s">
        <v>5334</v>
      </c>
    </row>
    <row r="3529" spans="1:3" x14ac:dyDescent="0.2">
      <c r="A3529" s="333">
        <v>39035140900</v>
      </c>
      <c r="B3529" t="s">
        <v>607</v>
      </c>
      <c r="C3529" s="341" t="s">
        <v>5334</v>
      </c>
    </row>
    <row r="3530" spans="1:3" x14ac:dyDescent="0.2">
      <c r="A3530" s="333">
        <v>39035141000</v>
      </c>
      <c r="B3530" t="s">
        <v>608</v>
      </c>
      <c r="C3530" s="341" t="s">
        <v>4330</v>
      </c>
    </row>
    <row r="3531" spans="1:3" x14ac:dyDescent="0.2">
      <c r="A3531" s="333">
        <v>39035141100</v>
      </c>
      <c r="B3531" t="s">
        <v>609</v>
      </c>
      <c r="C3531" s="341" t="s">
        <v>4330</v>
      </c>
    </row>
    <row r="3532" spans="1:3" x14ac:dyDescent="0.2">
      <c r="A3532" s="333">
        <v>39035141200</v>
      </c>
      <c r="B3532" t="s">
        <v>610</v>
      </c>
      <c r="C3532" s="341" t="s">
        <v>5334</v>
      </c>
    </row>
    <row r="3533" spans="1:3" x14ac:dyDescent="0.2">
      <c r="A3533" s="333">
        <v>39035141300</v>
      </c>
      <c r="B3533" t="s">
        <v>611</v>
      </c>
      <c r="C3533" s="341" t="s">
        <v>5334</v>
      </c>
    </row>
    <row r="3534" spans="1:3" x14ac:dyDescent="0.2">
      <c r="A3534" s="333">
        <v>39035141400</v>
      </c>
      <c r="B3534" t="s">
        <v>612</v>
      </c>
      <c r="C3534" s="341" t="s">
        <v>5334</v>
      </c>
    </row>
    <row r="3535" spans="1:3" x14ac:dyDescent="0.2">
      <c r="A3535" s="333">
        <v>39035141500</v>
      </c>
      <c r="B3535" t="s">
        <v>613</v>
      </c>
      <c r="C3535" s="341" t="s">
        <v>5334</v>
      </c>
    </row>
    <row r="3536" spans="1:3" x14ac:dyDescent="0.2">
      <c r="A3536" s="333">
        <v>39035141601</v>
      </c>
      <c r="B3536" t="s">
        <v>614</v>
      </c>
      <c r="C3536" s="341" t="s">
        <v>5334</v>
      </c>
    </row>
    <row r="3537" spans="1:3" x14ac:dyDescent="0.2">
      <c r="A3537" s="333">
        <v>39035141602</v>
      </c>
      <c r="B3537" t="s">
        <v>615</v>
      </c>
      <c r="C3537" s="341" t="s">
        <v>5334</v>
      </c>
    </row>
    <row r="3538" spans="1:3" x14ac:dyDescent="0.2">
      <c r="A3538" s="333">
        <v>39035141700</v>
      </c>
      <c r="B3538" t="s">
        <v>616</v>
      </c>
      <c r="C3538" s="341" t="s">
        <v>5334</v>
      </c>
    </row>
    <row r="3539" spans="1:3" x14ac:dyDescent="0.2">
      <c r="A3539" s="333">
        <v>39035150100</v>
      </c>
      <c r="B3539" t="s">
        <v>617</v>
      </c>
      <c r="C3539" s="341" t="s">
        <v>4330</v>
      </c>
    </row>
    <row r="3540" spans="1:3" x14ac:dyDescent="0.2">
      <c r="A3540" s="333">
        <v>39035150300</v>
      </c>
      <c r="B3540" t="s">
        <v>618</v>
      </c>
      <c r="C3540" s="341" t="s">
        <v>4330</v>
      </c>
    </row>
    <row r="3541" spans="1:3" x14ac:dyDescent="0.2">
      <c r="A3541" s="333">
        <v>39035150400</v>
      </c>
      <c r="B3541" t="s">
        <v>619</v>
      </c>
      <c r="C3541" s="341" t="s">
        <v>4330</v>
      </c>
    </row>
    <row r="3542" spans="1:3" x14ac:dyDescent="0.2">
      <c r="A3542" s="333">
        <v>39035151200</v>
      </c>
      <c r="B3542" t="s">
        <v>621</v>
      </c>
      <c r="C3542" s="341" t="s">
        <v>4330</v>
      </c>
    </row>
    <row r="3543" spans="1:3" x14ac:dyDescent="0.2">
      <c r="A3543" s="333">
        <v>39035151300</v>
      </c>
      <c r="B3543" t="s">
        <v>622</v>
      </c>
      <c r="C3543" s="341" t="s">
        <v>4330</v>
      </c>
    </row>
    <row r="3544" spans="1:3" x14ac:dyDescent="0.2">
      <c r="A3544" s="333">
        <v>39035151500</v>
      </c>
      <c r="B3544" t="s">
        <v>624</v>
      </c>
      <c r="C3544" s="341" t="s">
        <v>4330</v>
      </c>
    </row>
    <row r="3545" spans="1:3" x14ac:dyDescent="0.2">
      <c r="A3545" s="333">
        <v>39035151600</v>
      </c>
      <c r="B3545" t="s">
        <v>625</v>
      </c>
      <c r="C3545" s="341" t="s">
        <v>4330</v>
      </c>
    </row>
    <row r="3546" spans="1:3" x14ac:dyDescent="0.2">
      <c r="A3546" s="333">
        <v>39035151700</v>
      </c>
      <c r="B3546" t="s">
        <v>626</v>
      </c>
      <c r="C3546" s="341" t="s">
        <v>4330</v>
      </c>
    </row>
    <row r="3547" spans="1:3" x14ac:dyDescent="0.2">
      <c r="A3547" s="333">
        <v>39035151800</v>
      </c>
      <c r="B3547" t="s">
        <v>627</v>
      </c>
      <c r="C3547" s="341" t="s">
        <v>4330</v>
      </c>
    </row>
    <row r="3548" spans="1:3" x14ac:dyDescent="0.2">
      <c r="A3548" s="333">
        <v>39035152101</v>
      </c>
      <c r="B3548" t="s">
        <v>628</v>
      </c>
      <c r="C3548" s="341" t="s">
        <v>5334</v>
      </c>
    </row>
    <row r="3549" spans="1:3" x14ac:dyDescent="0.2">
      <c r="A3549" s="333">
        <v>39035152102</v>
      </c>
      <c r="B3549" t="s">
        <v>629</v>
      </c>
      <c r="C3549" s="341" t="s">
        <v>5334</v>
      </c>
    </row>
    <row r="3550" spans="1:3" x14ac:dyDescent="0.2">
      <c r="A3550" s="333">
        <v>39035152201</v>
      </c>
      <c r="B3550" t="s">
        <v>630</v>
      </c>
      <c r="C3550" s="341" t="s">
        <v>4330</v>
      </c>
    </row>
    <row r="3551" spans="1:3" x14ac:dyDescent="0.2">
      <c r="A3551" s="333">
        <v>39035152202</v>
      </c>
      <c r="B3551" t="s">
        <v>631</v>
      </c>
      <c r="C3551" s="341" t="s">
        <v>5334</v>
      </c>
    </row>
    <row r="3552" spans="1:3" x14ac:dyDescent="0.2">
      <c r="A3552" s="333">
        <v>39035152301</v>
      </c>
      <c r="B3552" t="s">
        <v>632</v>
      </c>
      <c r="C3552" s="341" t="s">
        <v>5334</v>
      </c>
    </row>
    <row r="3553" spans="1:3" x14ac:dyDescent="0.2">
      <c r="A3553" s="333">
        <v>39035152302</v>
      </c>
      <c r="B3553" t="s">
        <v>633</v>
      </c>
      <c r="C3553" s="341" t="s">
        <v>5334</v>
      </c>
    </row>
    <row r="3554" spans="1:3" x14ac:dyDescent="0.2">
      <c r="A3554" s="333">
        <v>39035152303</v>
      </c>
      <c r="B3554" t="s">
        <v>634</v>
      </c>
      <c r="C3554" s="341" t="s">
        <v>5334</v>
      </c>
    </row>
    <row r="3555" spans="1:3" x14ac:dyDescent="0.2">
      <c r="A3555" s="333">
        <v>39035152400</v>
      </c>
      <c r="B3555" t="s">
        <v>635</v>
      </c>
      <c r="C3555" s="341" t="s">
        <v>4330</v>
      </c>
    </row>
    <row r="3556" spans="1:3" x14ac:dyDescent="0.2">
      <c r="A3556" s="333">
        <v>39035152501</v>
      </c>
      <c r="B3556" t="s">
        <v>636</v>
      </c>
      <c r="C3556" s="341" t="s">
        <v>4330</v>
      </c>
    </row>
    <row r="3557" spans="1:3" x14ac:dyDescent="0.2">
      <c r="A3557" s="333">
        <v>39035152502</v>
      </c>
      <c r="B3557" t="s">
        <v>637</v>
      </c>
      <c r="C3557" s="341" t="s">
        <v>5334</v>
      </c>
    </row>
    <row r="3558" spans="1:3" x14ac:dyDescent="0.2">
      <c r="A3558" s="333">
        <v>39035152605</v>
      </c>
      <c r="B3558" t="s">
        <v>5396</v>
      </c>
      <c r="C3558" s="341" t="s">
        <v>4330</v>
      </c>
    </row>
    <row r="3559" spans="1:3" x14ac:dyDescent="0.2">
      <c r="A3559" s="333">
        <v>39035152701</v>
      </c>
      <c r="B3559" t="s">
        <v>640</v>
      </c>
      <c r="C3559" s="341" t="s">
        <v>4330</v>
      </c>
    </row>
    <row r="3560" spans="1:3" x14ac:dyDescent="0.2">
      <c r="A3560" s="333">
        <v>39035152702</v>
      </c>
      <c r="B3560" t="s">
        <v>641</v>
      </c>
      <c r="C3560" s="341" t="s">
        <v>5334</v>
      </c>
    </row>
    <row r="3561" spans="1:3" x14ac:dyDescent="0.2">
      <c r="A3561" s="333">
        <v>39035152703</v>
      </c>
      <c r="B3561" t="s">
        <v>642</v>
      </c>
      <c r="C3561" s="341" t="s">
        <v>5334</v>
      </c>
    </row>
    <row r="3562" spans="1:3" x14ac:dyDescent="0.2">
      <c r="A3562" s="333">
        <v>39035153103</v>
      </c>
      <c r="B3562" t="s">
        <v>643</v>
      </c>
      <c r="C3562" s="341" t="s">
        <v>5334</v>
      </c>
    </row>
    <row r="3563" spans="1:3" x14ac:dyDescent="0.2">
      <c r="A3563" s="333">
        <v>39035153104</v>
      </c>
      <c r="B3563" t="s">
        <v>644</v>
      </c>
      <c r="C3563" s="341" t="s">
        <v>5334</v>
      </c>
    </row>
    <row r="3564" spans="1:3" x14ac:dyDescent="0.2">
      <c r="A3564" s="333">
        <v>39035153105</v>
      </c>
      <c r="B3564" t="s">
        <v>645</v>
      </c>
      <c r="C3564" s="341" t="s">
        <v>5334</v>
      </c>
    </row>
    <row r="3565" spans="1:3" x14ac:dyDescent="0.2">
      <c r="A3565" s="333">
        <v>39035153106</v>
      </c>
      <c r="B3565" t="s">
        <v>646</v>
      </c>
      <c r="C3565" s="341" t="s">
        <v>5334</v>
      </c>
    </row>
    <row r="3566" spans="1:3" x14ac:dyDescent="0.2">
      <c r="A3566" s="333">
        <v>39035153107</v>
      </c>
      <c r="B3566" t="s">
        <v>647</v>
      </c>
      <c r="C3566" s="341" t="s">
        <v>5334</v>
      </c>
    </row>
    <row r="3567" spans="1:3" x14ac:dyDescent="0.2">
      <c r="A3567" s="333">
        <v>39035154100</v>
      </c>
      <c r="B3567" t="s">
        <v>648</v>
      </c>
      <c r="C3567" s="341" t="s">
        <v>5334</v>
      </c>
    </row>
    <row r="3568" spans="1:3" x14ac:dyDescent="0.2">
      <c r="A3568" s="333">
        <v>39035154200</v>
      </c>
      <c r="B3568" t="s">
        <v>649</v>
      </c>
      <c r="C3568" s="341" t="s">
        <v>4330</v>
      </c>
    </row>
    <row r="3569" spans="1:3" x14ac:dyDescent="0.2">
      <c r="A3569" s="333">
        <v>39035154400</v>
      </c>
      <c r="B3569" t="s">
        <v>651</v>
      </c>
      <c r="C3569" s="341" t="s">
        <v>5334</v>
      </c>
    </row>
    <row r="3570" spans="1:3" x14ac:dyDescent="0.2">
      <c r="A3570" s="333">
        <v>39035154501</v>
      </c>
      <c r="B3570" t="s">
        <v>652</v>
      </c>
      <c r="C3570" s="341" t="s">
        <v>4330</v>
      </c>
    </row>
    <row r="3571" spans="1:3" x14ac:dyDescent="0.2">
      <c r="A3571" s="333">
        <v>39035154502</v>
      </c>
      <c r="B3571" t="s">
        <v>653</v>
      </c>
      <c r="C3571" s="341" t="s">
        <v>5334</v>
      </c>
    </row>
    <row r="3572" spans="1:3" x14ac:dyDescent="0.2">
      <c r="A3572" s="333">
        <v>39035154601</v>
      </c>
      <c r="B3572" t="s">
        <v>654</v>
      </c>
      <c r="C3572" s="341" t="s">
        <v>5334</v>
      </c>
    </row>
    <row r="3573" spans="1:3" x14ac:dyDescent="0.2">
      <c r="A3573" s="333">
        <v>39035154603</v>
      </c>
      <c r="B3573" t="s">
        <v>655</v>
      </c>
      <c r="C3573" s="341" t="s">
        <v>5334</v>
      </c>
    </row>
    <row r="3574" spans="1:3" x14ac:dyDescent="0.2">
      <c r="A3574" s="333">
        <v>39035154604</v>
      </c>
      <c r="B3574" t="s">
        <v>656</v>
      </c>
      <c r="C3574" s="341" t="s">
        <v>5334</v>
      </c>
    </row>
    <row r="3575" spans="1:3" x14ac:dyDescent="0.2">
      <c r="A3575" s="333">
        <v>39035155101</v>
      </c>
      <c r="B3575" t="s">
        <v>658</v>
      </c>
      <c r="C3575" s="341" t="s">
        <v>5334</v>
      </c>
    </row>
    <row r="3576" spans="1:3" x14ac:dyDescent="0.2">
      <c r="A3576" s="333">
        <v>39035155102</v>
      </c>
      <c r="B3576" t="s">
        <v>659</v>
      </c>
      <c r="C3576" s="341" t="s">
        <v>5334</v>
      </c>
    </row>
    <row r="3577" spans="1:3" x14ac:dyDescent="0.2">
      <c r="A3577" s="333">
        <v>39035156101</v>
      </c>
      <c r="B3577" t="s">
        <v>660</v>
      </c>
      <c r="C3577" s="341" t="s">
        <v>5334</v>
      </c>
    </row>
    <row r="3578" spans="1:3" x14ac:dyDescent="0.2">
      <c r="A3578" s="333">
        <v>39035156102</v>
      </c>
      <c r="B3578" t="s">
        <v>661</v>
      </c>
      <c r="C3578" s="341" t="s">
        <v>5334</v>
      </c>
    </row>
    <row r="3579" spans="1:3" x14ac:dyDescent="0.2">
      <c r="A3579" s="333">
        <v>39035160100</v>
      </c>
      <c r="B3579" t="s">
        <v>662</v>
      </c>
      <c r="C3579" s="341" t="s">
        <v>5334</v>
      </c>
    </row>
    <row r="3580" spans="1:3" x14ac:dyDescent="0.2">
      <c r="A3580" s="333">
        <v>39035160200</v>
      </c>
      <c r="B3580" t="s">
        <v>663</v>
      </c>
      <c r="C3580" s="341" t="s">
        <v>5334</v>
      </c>
    </row>
    <row r="3581" spans="1:3" x14ac:dyDescent="0.2">
      <c r="A3581" s="333">
        <v>39035160300</v>
      </c>
      <c r="B3581" t="s">
        <v>664</v>
      </c>
      <c r="C3581" s="341" t="s">
        <v>5334</v>
      </c>
    </row>
    <row r="3582" spans="1:3" x14ac:dyDescent="0.2">
      <c r="A3582" s="333">
        <v>39035160400</v>
      </c>
      <c r="B3582" t="s">
        <v>665</v>
      </c>
      <c r="C3582" s="341" t="s">
        <v>5334</v>
      </c>
    </row>
    <row r="3583" spans="1:3" x14ac:dyDescent="0.2">
      <c r="A3583" s="333">
        <v>39035160500</v>
      </c>
      <c r="B3583" t="s">
        <v>666</v>
      </c>
      <c r="C3583" s="341" t="s">
        <v>5334</v>
      </c>
    </row>
    <row r="3584" spans="1:3" x14ac:dyDescent="0.2">
      <c r="A3584" s="333">
        <v>39035160602</v>
      </c>
      <c r="B3584" t="s">
        <v>668</v>
      </c>
      <c r="C3584" s="341" t="s">
        <v>4330</v>
      </c>
    </row>
    <row r="3585" spans="1:3" x14ac:dyDescent="0.2">
      <c r="A3585" s="333">
        <v>39035160603</v>
      </c>
      <c r="B3585" t="s">
        <v>5397</v>
      </c>
      <c r="C3585" s="341" t="s">
        <v>5334</v>
      </c>
    </row>
    <row r="3586" spans="1:3" x14ac:dyDescent="0.2">
      <c r="A3586" s="333">
        <v>39035160604</v>
      </c>
      <c r="B3586" t="s">
        <v>5398</v>
      </c>
      <c r="C3586" s="341" t="s">
        <v>5334</v>
      </c>
    </row>
    <row r="3587" spans="1:3" x14ac:dyDescent="0.2">
      <c r="A3587" s="333">
        <v>39035160900</v>
      </c>
      <c r="B3587" t="s">
        <v>671</v>
      </c>
      <c r="C3587" s="341" t="s">
        <v>5334</v>
      </c>
    </row>
    <row r="3588" spans="1:3" x14ac:dyDescent="0.2">
      <c r="A3588" s="333">
        <v>39035161000</v>
      </c>
      <c r="B3588" t="s">
        <v>672</v>
      </c>
      <c r="C3588" s="341" t="s">
        <v>5334</v>
      </c>
    </row>
    <row r="3589" spans="1:3" x14ac:dyDescent="0.2">
      <c r="A3589" s="333">
        <v>39035161100</v>
      </c>
      <c r="B3589" t="s">
        <v>673</v>
      </c>
      <c r="C3589" s="341" t="s">
        <v>5334</v>
      </c>
    </row>
    <row r="3590" spans="1:3" x14ac:dyDescent="0.2">
      <c r="A3590" s="333">
        <v>39035161200</v>
      </c>
      <c r="B3590" t="s">
        <v>674</v>
      </c>
      <c r="C3590" s="341" t="s">
        <v>5334</v>
      </c>
    </row>
    <row r="3591" spans="1:3" x14ac:dyDescent="0.2">
      <c r="A3591" s="333">
        <v>39035161300</v>
      </c>
      <c r="B3591" t="s">
        <v>675</v>
      </c>
      <c r="C3591" s="341" t="s">
        <v>5334</v>
      </c>
    </row>
    <row r="3592" spans="1:3" x14ac:dyDescent="0.2">
      <c r="A3592" s="333">
        <v>39035161400</v>
      </c>
      <c r="B3592" t="s">
        <v>676</v>
      </c>
      <c r="C3592" s="341" t="s">
        <v>5334</v>
      </c>
    </row>
    <row r="3593" spans="1:3" x14ac:dyDescent="0.2">
      <c r="A3593" s="333">
        <v>39035161500</v>
      </c>
      <c r="B3593" t="s">
        <v>677</v>
      </c>
      <c r="C3593" s="341" t="s">
        <v>5334</v>
      </c>
    </row>
    <row r="3594" spans="1:3" x14ac:dyDescent="0.2">
      <c r="A3594" s="333">
        <v>39035161600</v>
      </c>
      <c r="B3594" t="s">
        <v>678</v>
      </c>
      <c r="C3594" s="341" t="s">
        <v>5334</v>
      </c>
    </row>
    <row r="3595" spans="1:3" x14ac:dyDescent="0.2">
      <c r="A3595" s="333">
        <v>39035161900</v>
      </c>
      <c r="B3595" t="s">
        <v>5399</v>
      </c>
      <c r="C3595" s="341" t="s">
        <v>5334</v>
      </c>
    </row>
    <row r="3596" spans="1:3" x14ac:dyDescent="0.2">
      <c r="A3596" s="333">
        <v>39035170101</v>
      </c>
      <c r="B3596" t="s">
        <v>681</v>
      </c>
      <c r="C3596" s="341" t="s">
        <v>5334</v>
      </c>
    </row>
    <row r="3597" spans="1:3" x14ac:dyDescent="0.2">
      <c r="A3597" s="333">
        <v>39035170102</v>
      </c>
      <c r="B3597" t="s">
        <v>682</v>
      </c>
      <c r="C3597" s="341" t="s">
        <v>5334</v>
      </c>
    </row>
    <row r="3598" spans="1:3" x14ac:dyDescent="0.2">
      <c r="A3598" s="333">
        <v>39035170201</v>
      </c>
      <c r="B3598" t="s">
        <v>683</v>
      </c>
      <c r="C3598" s="341" t="s">
        <v>5334</v>
      </c>
    </row>
    <row r="3599" spans="1:3" x14ac:dyDescent="0.2">
      <c r="A3599" s="333">
        <v>39035170202</v>
      </c>
      <c r="B3599" t="s">
        <v>684</v>
      </c>
      <c r="C3599" s="341" t="s">
        <v>5334</v>
      </c>
    </row>
    <row r="3600" spans="1:3" x14ac:dyDescent="0.2">
      <c r="A3600" s="333">
        <v>39035171102</v>
      </c>
      <c r="B3600" t="s">
        <v>685</v>
      </c>
      <c r="C3600" s="341" t="s">
        <v>5334</v>
      </c>
    </row>
    <row r="3601" spans="1:3" x14ac:dyDescent="0.2">
      <c r="A3601" s="333">
        <v>39035171103</v>
      </c>
      <c r="B3601" t="s">
        <v>686</v>
      </c>
      <c r="C3601" s="341" t="s">
        <v>4330</v>
      </c>
    </row>
    <row r="3602" spans="1:3" x14ac:dyDescent="0.2">
      <c r="A3602" s="333">
        <v>39035171104</v>
      </c>
      <c r="B3602" t="s">
        <v>687</v>
      </c>
      <c r="C3602" s="341" t="s">
        <v>4330</v>
      </c>
    </row>
    <row r="3603" spans="1:3" x14ac:dyDescent="0.2">
      <c r="A3603" s="333">
        <v>39035171203</v>
      </c>
      <c r="B3603" t="s">
        <v>688</v>
      </c>
      <c r="C3603" s="341" t="s">
        <v>5334</v>
      </c>
    </row>
    <row r="3604" spans="1:3" x14ac:dyDescent="0.2">
      <c r="A3604" s="333">
        <v>39035171204</v>
      </c>
      <c r="B3604" t="s">
        <v>689</v>
      </c>
      <c r="C3604" s="341" t="s">
        <v>4330</v>
      </c>
    </row>
    <row r="3605" spans="1:3" x14ac:dyDescent="0.2">
      <c r="A3605" s="333">
        <v>39035171205</v>
      </c>
      <c r="B3605" t="s">
        <v>690</v>
      </c>
      <c r="C3605" s="341" t="s">
        <v>5334</v>
      </c>
    </row>
    <row r="3606" spans="1:3" x14ac:dyDescent="0.2">
      <c r="A3606" s="333">
        <v>39035171206</v>
      </c>
      <c r="B3606" t="s">
        <v>691</v>
      </c>
      <c r="C3606" s="341" t="s">
        <v>5334</v>
      </c>
    </row>
    <row r="3607" spans="1:3" x14ac:dyDescent="0.2">
      <c r="A3607" s="333">
        <v>39035172101</v>
      </c>
      <c r="B3607" t="s">
        <v>692</v>
      </c>
      <c r="C3607" s="341" t="s">
        <v>5334</v>
      </c>
    </row>
    <row r="3608" spans="1:3" x14ac:dyDescent="0.2">
      <c r="A3608" s="333">
        <v>39035172102</v>
      </c>
      <c r="B3608" t="s">
        <v>693</v>
      </c>
      <c r="C3608" s="341" t="s">
        <v>5334</v>
      </c>
    </row>
    <row r="3609" spans="1:3" x14ac:dyDescent="0.2">
      <c r="A3609" s="333">
        <v>39035172104</v>
      </c>
      <c r="B3609" t="s">
        <v>5400</v>
      </c>
      <c r="C3609" s="341" t="s">
        <v>5334</v>
      </c>
    </row>
    <row r="3610" spans="1:3" x14ac:dyDescent="0.2">
      <c r="A3610" s="333">
        <v>39035172105</v>
      </c>
      <c r="B3610" t="s">
        <v>5401</v>
      </c>
      <c r="C3610" s="341" t="s">
        <v>5334</v>
      </c>
    </row>
    <row r="3611" spans="1:3" x14ac:dyDescent="0.2">
      <c r="A3611" s="333">
        <v>39035172201</v>
      </c>
      <c r="B3611" t="s">
        <v>695</v>
      </c>
      <c r="C3611" s="341" t="s">
        <v>5334</v>
      </c>
    </row>
    <row r="3612" spans="1:3" x14ac:dyDescent="0.2">
      <c r="A3612" s="333">
        <v>39035172202</v>
      </c>
      <c r="B3612" t="s">
        <v>696</v>
      </c>
      <c r="C3612" s="341" t="s">
        <v>5334</v>
      </c>
    </row>
    <row r="3613" spans="1:3" x14ac:dyDescent="0.2">
      <c r="A3613" s="333">
        <v>39035173103</v>
      </c>
      <c r="B3613" t="s">
        <v>697</v>
      </c>
      <c r="C3613" s="341" t="s">
        <v>5334</v>
      </c>
    </row>
    <row r="3614" spans="1:3" x14ac:dyDescent="0.2">
      <c r="A3614" s="333">
        <v>39035173104</v>
      </c>
      <c r="B3614" t="s">
        <v>698</v>
      </c>
      <c r="C3614" s="341" t="s">
        <v>5334</v>
      </c>
    </row>
    <row r="3615" spans="1:3" x14ac:dyDescent="0.2">
      <c r="A3615" s="333">
        <v>39035173105</v>
      </c>
      <c r="B3615" t="s">
        <v>699</v>
      </c>
      <c r="C3615" s="341" t="s">
        <v>5334</v>
      </c>
    </row>
    <row r="3616" spans="1:3" x14ac:dyDescent="0.2">
      <c r="A3616" s="333">
        <v>39035173106</v>
      </c>
      <c r="B3616" t="s">
        <v>700</v>
      </c>
      <c r="C3616" s="341" t="s">
        <v>5334</v>
      </c>
    </row>
    <row r="3617" spans="1:3" x14ac:dyDescent="0.2">
      <c r="A3617" s="333">
        <v>39035173107</v>
      </c>
      <c r="B3617" t="s">
        <v>701</v>
      </c>
      <c r="C3617" s="341" t="s">
        <v>5334</v>
      </c>
    </row>
    <row r="3618" spans="1:3" x14ac:dyDescent="0.2">
      <c r="A3618" s="333">
        <v>39035174103</v>
      </c>
      <c r="B3618" t="s">
        <v>702</v>
      </c>
      <c r="C3618" s="341" t="s">
        <v>5334</v>
      </c>
    </row>
    <row r="3619" spans="1:3" x14ac:dyDescent="0.2">
      <c r="A3619" s="333">
        <v>39035174104</v>
      </c>
      <c r="B3619" t="s">
        <v>703</v>
      </c>
      <c r="C3619" s="341" t="s">
        <v>5334</v>
      </c>
    </row>
    <row r="3620" spans="1:3" x14ac:dyDescent="0.2">
      <c r="A3620" s="333">
        <v>39035174105</v>
      </c>
      <c r="B3620" t="s">
        <v>704</v>
      </c>
      <c r="C3620" s="341" t="s">
        <v>5334</v>
      </c>
    </row>
    <row r="3621" spans="1:3" x14ac:dyDescent="0.2">
      <c r="A3621" s="333">
        <v>39035174106</v>
      </c>
      <c r="B3621" t="s">
        <v>705</v>
      </c>
      <c r="C3621" s="341" t="s">
        <v>5334</v>
      </c>
    </row>
    <row r="3622" spans="1:3" x14ac:dyDescent="0.2">
      <c r="A3622" s="333">
        <v>39035174107</v>
      </c>
      <c r="B3622" t="s">
        <v>706</v>
      </c>
      <c r="C3622" s="341" t="s">
        <v>5334</v>
      </c>
    </row>
    <row r="3623" spans="1:3" x14ac:dyDescent="0.2">
      <c r="A3623" s="333">
        <v>39035174203</v>
      </c>
      <c r="B3623" t="s">
        <v>707</v>
      </c>
      <c r="C3623" s="341" t="s">
        <v>5334</v>
      </c>
    </row>
    <row r="3624" spans="1:3" x14ac:dyDescent="0.2">
      <c r="A3624" s="333">
        <v>39035174204</v>
      </c>
      <c r="B3624" t="s">
        <v>708</v>
      </c>
      <c r="C3624" s="341" t="s">
        <v>5334</v>
      </c>
    </row>
    <row r="3625" spans="1:3" x14ac:dyDescent="0.2">
      <c r="A3625" s="333">
        <v>39035174205</v>
      </c>
      <c r="B3625" t="s">
        <v>709</v>
      </c>
      <c r="C3625" s="341" t="s">
        <v>5334</v>
      </c>
    </row>
    <row r="3626" spans="1:3" x14ac:dyDescent="0.2">
      <c r="A3626" s="333">
        <v>39035174206</v>
      </c>
      <c r="B3626" t="s">
        <v>710</v>
      </c>
      <c r="C3626" s="341" t="s">
        <v>5334</v>
      </c>
    </row>
    <row r="3627" spans="1:3" x14ac:dyDescent="0.2">
      <c r="A3627" s="333">
        <v>39035174207</v>
      </c>
      <c r="B3627" t="s">
        <v>711</v>
      </c>
      <c r="C3627" s="341" t="s">
        <v>5334</v>
      </c>
    </row>
    <row r="3628" spans="1:3" x14ac:dyDescent="0.2">
      <c r="A3628" s="333">
        <v>39035175105</v>
      </c>
      <c r="B3628" t="s">
        <v>714</v>
      </c>
      <c r="C3628" s="341" t="s">
        <v>5334</v>
      </c>
    </row>
    <row r="3629" spans="1:3" x14ac:dyDescent="0.2">
      <c r="A3629" s="333">
        <v>39035175106</v>
      </c>
      <c r="B3629" t="s">
        <v>715</v>
      </c>
      <c r="C3629" s="341" t="s">
        <v>5334</v>
      </c>
    </row>
    <row r="3630" spans="1:3" x14ac:dyDescent="0.2">
      <c r="A3630" s="333">
        <v>39035175107</v>
      </c>
      <c r="B3630" t="s">
        <v>5402</v>
      </c>
      <c r="C3630" s="341" t="s">
        <v>5334</v>
      </c>
    </row>
    <row r="3631" spans="1:3" x14ac:dyDescent="0.2">
      <c r="A3631" s="333">
        <v>39035175108</v>
      </c>
      <c r="B3631" t="s">
        <v>5403</v>
      </c>
      <c r="C3631" s="341" t="s">
        <v>5334</v>
      </c>
    </row>
    <row r="3632" spans="1:3" x14ac:dyDescent="0.2">
      <c r="A3632" s="333">
        <v>39035175109</v>
      </c>
      <c r="B3632" t="s">
        <v>5404</v>
      </c>
      <c r="C3632" s="341" t="s">
        <v>5334</v>
      </c>
    </row>
    <row r="3633" spans="1:3" x14ac:dyDescent="0.2">
      <c r="A3633" s="333">
        <v>39035175110</v>
      </c>
      <c r="B3633" t="s">
        <v>5405</v>
      </c>
      <c r="C3633" s="341" t="s">
        <v>5334</v>
      </c>
    </row>
    <row r="3634" spans="1:3" x14ac:dyDescent="0.2">
      <c r="A3634" s="333">
        <v>39035175201</v>
      </c>
      <c r="B3634" t="s">
        <v>716</v>
      </c>
      <c r="C3634" s="341" t="s">
        <v>5334</v>
      </c>
    </row>
    <row r="3635" spans="1:3" x14ac:dyDescent="0.2">
      <c r="A3635" s="333">
        <v>39035175202</v>
      </c>
      <c r="B3635" t="s">
        <v>717</v>
      </c>
      <c r="C3635" s="341" t="s">
        <v>5334</v>
      </c>
    </row>
    <row r="3636" spans="1:3" x14ac:dyDescent="0.2">
      <c r="A3636" s="333">
        <v>39035176100</v>
      </c>
      <c r="B3636" t="s">
        <v>718</v>
      </c>
      <c r="C3636" s="341" t="s">
        <v>5334</v>
      </c>
    </row>
    <row r="3637" spans="1:3" x14ac:dyDescent="0.2">
      <c r="A3637" s="333">
        <v>39035176200</v>
      </c>
      <c r="B3637" t="s">
        <v>719</v>
      </c>
      <c r="C3637" s="341" t="s">
        <v>5334</v>
      </c>
    </row>
    <row r="3638" spans="1:3" x14ac:dyDescent="0.2">
      <c r="A3638" s="333">
        <v>39035177101</v>
      </c>
      <c r="B3638" t="s">
        <v>720</v>
      </c>
      <c r="C3638" s="341" t="s">
        <v>5334</v>
      </c>
    </row>
    <row r="3639" spans="1:3" x14ac:dyDescent="0.2">
      <c r="A3639" s="333">
        <v>39035177103</v>
      </c>
      <c r="B3639" t="s">
        <v>721</v>
      </c>
      <c r="C3639" s="341" t="s">
        <v>5334</v>
      </c>
    </row>
    <row r="3640" spans="1:3" x14ac:dyDescent="0.2">
      <c r="A3640" s="333">
        <v>39035177104</v>
      </c>
      <c r="B3640" t="s">
        <v>722</v>
      </c>
      <c r="C3640" s="341" t="s">
        <v>5334</v>
      </c>
    </row>
    <row r="3641" spans="1:3" x14ac:dyDescent="0.2">
      <c r="A3641" s="333">
        <v>39035177201</v>
      </c>
      <c r="B3641" t="s">
        <v>723</v>
      </c>
      <c r="C3641" s="341" t="s">
        <v>5334</v>
      </c>
    </row>
    <row r="3642" spans="1:3" x14ac:dyDescent="0.2">
      <c r="A3642" s="333">
        <v>39035177202</v>
      </c>
      <c r="B3642" t="s">
        <v>724</v>
      </c>
      <c r="C3642" s="341" t="s">
        <v>5334</v>
      </c>
    </row>
    <row r="3643" spans="1:3" x14ac:dyDescent="0.2">
      <c r="A3643" s="333">
        <v>39035177302</v>
      </c>
      <c r="B3643" t="s">
        <v>725</v>
      </c>
      <c r="C3643" s="341" t="s">
        <v>5334</v>
      </c>
    </row>
    <row r="3644" spans="1:3" x14ac:dyDescent="0.2">
      <c r="A3644" s="333">
        <v>39035177303</v>
      </c>
      <c r="B3644" t="s">
        <v>726</v>
      </c>
      <c r="C3644" s="341" t="s">
        <v>5334</v>
      </c>
    </row>
    <row r="3645" spans="1:3" x14ac:dyDescent="0.2">
      <c r="A3645" s="333">
        <v>39035177304</v>
      </c>
      <c r="B3645" t="s">
        <v>727</v>
      </c>
      <c r="C3645" s="341" t="s">
        <v>5334</v>
      </c>
    </row>
    <row r="3646" spans="1:3" x14ac:dyDescent="0.2">
      <c r="A3646" s="333">
        <v>39035177403</v>
      </c>
      <c r="B3646" t="s">
        <v>728</v>
      </c>
      <c r="C3646" s="341" t="s">
        <v>5334</v>
      </c>
    </row>
    <row r="3647" spans="1:3" x14ac:dyDescent="0.2">
      <c r="A3647" s="333">
        <v>39035177404</v>
      </c>
      <c r="B3647" t="s">
        <v>729</v>
      </c>
      <c r="C3647" s="341" t="s">
        <v>5334</v>
      </c>
    </row>
    <row r="3648" spans="1:3" x14ac:dyDescent="0.2">
      <c r="A3648" s="333">
        <v>39035177405</v>
      </c>
      <c r="B3648" t="s">
        <v>730</v>
      </c>
      <c r="C3648" s="341" t="s">
        <v>5334</v>
      </c>
    </row>
    <row r="3649" spans="1:3" x14ac:dyDescent="0.2">
      <c r="A3649" s="333">
        <v>39035177406</v>
      </c>
      <c r="B3649" t="s">
        <v>731</v>
      </c>
      <c r="C3649" s="341" t="s">
        <v>5334</v>
      </c>
    </row>
    <row r="3650" spans="1:3" x14ac:dyDescent="0.2">
      <c r="A3650" s="333">
        <v>39035177501</v>
      </c>
      <c r="B3650" t="s">
        <v>732</v>
      </c>
      <c r="C3650" s="341" t="s">
        <v>5334</v>
      </c>
    </row>
    <row r="3651" spans="1:3" x14ac:dyDescent="0.2">
      <c r="A3651" s="333">
        <v>39035177503</v>
      </c>
      <c r="B3651" t="s">
        <v>733</v>
      </c>
      <c r="C3651" s="341" t="s">
        <v>5334</v>
      </c>
    </row>
    <row r="3652" spans="1:3" x14ac:dyDescent="0.2">
      <c r="A3652" s="333">
        <v>39035177504</v>
      </c>
      <c r="B3652" t="s">
        <v>734</v>
      </c>
      <c r="C3652" s="341" t="s">
        <v>5334</v>
      </c>
    </row>
    <row r="3653" spans="1:3" x14ac:dyDescent="0.2">
      <c r="A3653" s="333">
        <v>39035177505</v>
      </c>
      <c r="B3653" t="s">
        <v>735</v>
      </c>
      <c r="C3653" s="341" t="s">
        <v>5334</v>
      </c>
    </row>
    <row r="3654" spans="1:3" x14ac:dyDescent="0.2">
      <c r="A3654" s="333">
        <v>39035177604</v>
      </c>
      <c r="B3654" t="s">
        <v>736</v>
      </c>
      <c r="C3654" s="341" t="s">
        <v>5334</v>
      </c>
    </row>
    <row r="3655" spans="1:3" x14ac:dyDescent="0.2">
      <c r="A3655" s="333">
        <v>39035177605</v>
      </c>
      <c r="B3655" t="s">
        <v>737</v>
      </c>
      <c r="C3655" s="341" t="s">
        <v>5334</v>
      </c>
    </row>
    <row r="3656" spans="1:3" x14ac:dyDescent="0.2">
      <c r="A3656" s="333">
        <v>39035177606</v>
      </c>
      <c r="B3656" t="s">
        <v>738</v>
      </c>
      <c r="C3656" s="341" t="s">
        <v>5334</v>
      </c>
    </row>
    <row r="3657" spans="1:3" x14ac:dyDescent="0.2">
      <c r="A3657" s="333">
        <v>39035177607</v>
      </c>
      <c r="B3657" t="s">
        <v>739</v>
      </c>
      <c r="C3657" s="341" t="s">
        <v>5334</v>
      </c>
    </row>
    <row r="3658" spans="1:3" x14ac:dyDescent="0.2">
      <c r="A3658" s="333">
        <v>39035177608</v>
      </c>
      <c r="B3658" t="s">
        <v>740</v>
      </c>
      <c r="C3658" s="341" t="s">
        <v>5334</v>
      </c>
    </row>
    <row r="3659" spans="1:3" x14ac:dyDescent="0.2">
      <c r="A3659" s="333">
        <v>39035177609</v>
      </c>
      <c r="B3659" t="s">
        <v>741</v>
      </c>
      <c r="C3659" s="341" t="s">
        <v>5334</v>
      </c>
    </row>
    <row r="3660" spans="1:3" x14ac:dyDescent="0.2">
      <c r="A3660" s="333">
        <v>39035178101</v>
      </c>
      <c r="B3660" t="s">
        <v>742</v>
      </c>
      <c r="C3660" s="341" t="s">
        <v>5334</v>
      </c>
    </row>
    <row r="3661" spans="1:3" x14ac:dyDescent="0.2">
      <c r="A3661" s="333">
        <v>39035178102</v>
      </c>
      <c r="B3661" t="s">
        <v>743</v>
      </c>
      <c r="C3661" s="341" t="s">
        <v>5334</v>
      </c>
    </row>
    <row r="3662" spans="1:3" x14ac:dyDescent="0.2">
      <c r="A3662" s="333">
        <v>39035178201</v>
      </c>
      <c r="B3662" t="s">
        <v>744</v>
      </c>
      <c r="C3662" s="341" t="s">
        <v>5334</v>
      </c>
    </row>
    <row r="3663" spans="1:3" x14ac:dyDescent="0.2">
      <c r="A3663" s="333">
        <v>39035178204</v>
      </c>
      <c r="B3663" t="s">
        <v>745</v>
      </c>
      <c r="C3663" s="341" t="s">
        <v>5334</v>
      </c>
    </row>
    <row r="3664" spans="1:3" x14ac:dyDescent="0.2">
      <c r="A3664" s="333">
        <v>39035178205</v>
      </c>
      <c r="B3664" t="s">
        <v>746</v>
      </c>
      <c r="C3664" s="341" t="s">
        <v>5334</v>
      </c>
    </row>
    <row r="3665" spans="1:3" x14ac:dyDescent="0.2">
      <c r="A3665" s="333">
        <v>39035178206</v>
      </c>
      <c r="B3665" t="s">
        <v>747</v>
      </c>
      <c r="C3665" s="341" t="s">
        <v>5334</v>
      </c>
    </row>
    <row r="3666" spans="1:3" x14ac:dyDescent="0.2">
      <c r="A3666" s="333">
        <v>39035179101</v>
      </c>
      <c r="B3666" t="s">
        <v>748</v>
      </c>
      <c r="C3666" s="341" t="s">
        <v>5334</v>
      </c>
    </row>
    <row r="3667" spans="1:3" x14ac:dyDescent="0.2">
      <c r="A3667" s="333">
        <v>39035179102</v>
      </c>
      <c r="B3667" t="s">
        <v>749</v>
      </c>
      <c r="C3667" s="341" t="s">
        <v>5334</v>
      </c>
    </row>
    <row r="3668" spans="1:3" x14ac:dyDescent="0.2">
      <c r="A3668" s="333">
        <v>39035180102</v>
      </c>
      <c r="B3668" t="s">
        <v>750</v>
      </c>
      <c r="C3668" s="341" t="s">
        <v>5334</v>
      </c>
    </row>
    <row r="3669" spans="1:3" x14ac:dyDescent="0.2">
      <c r="A3669" s="333">
        <v>39035180103</v>
      </c>
      <c r="B3669" t="s">
        <v>751</v>
      </c>
      <c r="C3669" s="341" t="s">
        <v>5334</v>
      </c>
    </row>
    <row r="3670" spans="1:3" x14ac:dyDescent="0.2">
      <c r="A3670" s="333">
        <v>39035180104</v>
      </c>
      <c r="B3670" t="s">
        <v>752</v>
      </c>
      <c r="C3670" s="341" t="s">
        <v>4330</v>
      </c>
    </row>
    <row r="3671" spans="1:3" x14ac:dyDescent="0.2">
      <c r="A3671" s="333">
        <v>39035181100</v>
      </c>
      <c r="B3671" t="s">
        <v>753</v>
      </c>
      <c r="C3671" s="341" t="s">
        <v>5334</v>
      </c>
    </row>
    <row r="3672" spans="1:3" x14ac:dyDescent="0.2">
      <c r="A3672" s="333">
        <v>39035181201</v>
      </c>
      <c r="B3672" t="s">
        <v>754</v>
      </c>
      <c r="C3672" s="341" t="s">
        <v>5334</v>
      </c>
    </row>
    <row r="3673" spans="1:3" x14ac:dyDescent="0.2">
      <c r="A3673" s="333">
        <v>39035181203</v>
      </c>
      <c r="B3673" t="s">
        <v>755</v>
      </c>
      <c r="C3673" s="341" t="s">
        <v>5334</v>
      </c>
    </row>
    <row r="3674" spans="1:3" x14ac:dyDescent="0.2">
      <c r="A3674" s="333">
        <v>39035181204</v>
      </c>
      <c r="B3674" t="s">
        <v>756</v>
      </c>
      <c r="C3674" s="341" t="s">
        <v>5334</v>
      </c>
    </row>
    <row r="3675" spans="1:3" x14ac:dyDescent="0.2">
      <c r="A3675" s="333">
        <v>39035182103</v>
      </c>
      <c r="B3675" t="s">
        <v>757</v>
      </c>
      <c r="C3675" s="341" t="s">
        <v>5334</v>
      </c>
    </row>
    <row r="3676" spans="1:3" x14ac:dyDescent="0.2">
      <c r="A3676" s="333">
        <v>39035182104</v>
      </c>
      <c r="B3676" t="s">
        <v>758</v>
      </c>
      <c r="C3676" s="341" t="s">
        <v>5334</v>
      </c>
    </row>
    <row r="3677" spans="1:3" x14ac:dyDescent="0.2">
      <c r="A3677" s="333">
        <v>39035182105</v>
      </c>
      <c r="B3677" t="s">
        <v>759</v>
      </c>
      <c r="C3677" s="341" t="s">
        <v>5334</v>
      </c>
    </row>
    <row r="3678" spans="1:3" x14ac:dyDescent="0.2">
      <c r="A3678" s="333">
        <v>39035182106</v>
      </c>
      <c r="B3678" t="s">
        <v>760</v>
      </c>
      <c r="C3678" s="341" t="s">
        <v>5334</v>
      </c>
    </row>
    <row r="3679" spans="1:3" x14ac:dyDescent="0.2">
      <c r="A3679" s="333">
        <v>39035183100</v>
      </c>
      <c r="B3679" t="s">
        <v>761</v>
      </c>
      <c r="C3679" s="341" t="s">
        <v>5334</v>
      </c>
    </row>
    <row r="3680" spans="1:3" x14ac:dyDescent="0.2">
      <c r="A3680" s="333">
        <v>39035183200</v>
      </c>
      <c r="B3680" t="s">
        <v>762</v>
      </c>
      <c r="C3680" s="341" t="s">
        <v>5334</v>
      </c>
    </row>
    <row r="3681" spans="1:3" x14ac:dyDescent="0.2">
      <c r="A3681" s="333">
        <v>39035183300</v>
      </c>
      <c r="B3681" t="s">
        <v>763</v>
      </c>
      <c r="C3681" s="341" t="s">
        <v>5334</v>
      </c>
    </row>
    <row r="3682" spans="1:3" x14ac:dyDescent="0.2">
      <c r="A3682" s="333">
        <v>39035183401</v>
      </c>
      <c r="B3682" t="s">
        <v>764</v>
      </c>
      <c r="C3682" s="341" t="s">
        <v>5334</v>
      </c>
    </row>
    <row r="3683" spans="1:3" x14ac:dyDescent="0.2">
      <c r="A3683" s="333">
        <v>39035183402</v>
      </c>
      <c r="B3683" t="s">
        <v>765</v>
      </c>
      <c r="C3683" s="341" t="s">
        <v>5334</v>
      </c>
    </row>
    <row r="3684" spans="1:3" x14ac:dyDescent="0.2">
      <c r="A3684" s="333">
        <v>39035183501</v>
      </c>
      <c r="B3684" t="s">
        <v>766</v>
      </c>
      <c r="C3684" s="341" t="s">
        <v>5334</v>
      </c>
    </row>
    <row r="3685" spans="1:3" x14ac:dyDescent="0.2">
      <c r="A3685" s="333">
        <v>39035183502</v>
      </c>
      <c r="B3685" t="s">
        <v>767</v>
      </c>
      <c r="C3685" s="341" t="s">
        <v>5334</v>
      </c>
    </row>
    <row r="3686" spans="1:3" x14ac:dyDescent="0.2">
      <c r="A3686" s="333">
        <v>39035183603</v>
      </c>
      <c r="B3686" t="s">
        <v>768</v>
      </c>
      <c r="C3686" s="341" t="s">
        <v>5334</v>
      </c>
    </row>
    <row r="3687" spans="1:3" x14ac:dyDescent="0.2">
      <c r="A3687" s="333">
        <v>39035183604</v>
      </c>
      <c r="B3687" t="s">
        <v>769</v>
      </c>
      <c r="C3687" s="341" t="s">
        <v>5334</v>
      </c>
    </row>
    <row r="3688" spans="1:3" x14ac:dyDescent="0.2">
      <c r="A3688" s="333">
        <v>39035183605</v>
      </c>
      <c r="B3688" t="s">
        <v>770</v>
      </c>
      <c r="C3688" s="341" t="s">
        <v>5334</v>
      </c>
    </row>
    <row r="3689" spans="1:3" x14ac:dyDescent="0.2">
      <c r="A3689" s="333">
        <v>39035183606</v>
      </c>
      <c r="B3689" t="s">
        <v>771</v>
      </c>
      <c r="C3689" s="341" t="s">
        <v>5334</v>
      </c>
    </row>
    <row r="3690" spans="1:3" x14ac:dyDescent="0.2">
      <c r="A3690" s="333">
        <v>39035184103</v>
      </c>
      <c r="B3690" t="s">
        <v>772</v>
      </c>
      <c r="C3690" s="341" t="s">
        <v>5334</v>
      </c>
    </row>
    <row r="3691" spans="1:3" x14ac:dyDescent="0.2">
      <c r="A3691" s="333">
        <v>39035184104</v>
      </c>
      <c r="B3691" t="s">
        <v>773</v>
      </c>
      <c r="C3691" s="341" t="s">
        <v>5334</v>
      </c>
    </row>
    <row r="3692" spans="1:3" x14ac:dyDescent="0.2">
      <c r="A3692" s="333">
        <v>39035184105</v>
      </c>
      <c r="B3692" t="s">
        <v>774</v>
      </c>
      <c r="C3692" s="341" t="s">
        <v>5334</v>
      </c>
    </row>
    <row r="3693" spans="1:3" x14ac:dyDescent="0.2">
      <c r="A3693" s="333">
        <v>39035184106</v>
      </c>
      <c r="B3693" t="s">
        <v>775</v>
      </c>
      <c r="C3693" s="341" t="s">
        <v>5334</v>
      </c>
    </row>
    <row r="3694" spans="1:3" x14ac:dyDescent="0.2">
      <c r="A3694" s="333">
        <v>39035184108</v>
      </c>
      <c r="B3694" t="s">
        <v>776</v>
      </c>
      <c r="C3694" s="341" t="s">
        <v>5334</v>
      </c>
    </row>
    <row r="3695" spans="1:3" x14ac:dyDescent="0.2">
      <c r="A3695" s="333">
        <v>39035185101</v>
      </c>
      <c r="B3695" t="s">
        <v>777</v>
      </c>
      <c r="C3695" s="341" t="s">
        <v>5334</v>
      </c>
    </row>
    <row r="3696" spans="1:3" x14ac:dyDescent="0.2">
      <c r="A3696" s="333">
        <v>39035185102</v>
      </c>
      <c r="B3696" t="s">
        <v>778</v>
      </c>
      <c r="C3696" s="341" t="s">
        <v>5334</v>
      </c>
    </row>
    <row r="3697" spans="1:3" x14ac:dyDescent="0.2">
      <c r="A3697" s="333">
        <v>39035185103</v>
      </c>
      <c r="B3697" t="s">
        <v>779</v>
      </c>
      <c r="C3697" s="341" t="s">
        <v>5334</v>
      </c>
    </row>
    <row r="3698" spans="1:3" x14ac:dyDescent="0.2">
      <c r="A3698" s="333">
        <v>39035185104</v>
      </c>
      <c r="B3698" t="s">
        <v>780</v>
      </c>
      <c r="C3698" s="341" t="s">
        <v>5334</v>
      </c>
    </row>
    <row r="3699" spans="1:3" x14ac:dyDescent="0.2">
      <c r="A3699" s="333">
        <v>39035185201</v>
      </c>
      <c r="B3699" t="s">
        <v>781</v>
      </c>
      <c r="C3699" s="341" t="s">
        <v>5334</v>
      </c>
    </row>
    <row r="3700" spans="1:3" x14ac:dyDescent="0.2">
      <c r="A3700" s="333">
        <v>39035185202</v>
      </c>
      <c r="B3700" t="s">
        <v>782</v>
      </c>
      <c r="C3700" s="341" t="s">
        <v>5334</v>
      </c>
    </row>
    <row r="3701" spans="1:3" x14ac:dyDescent="0.2">
      <c r="A3701" s="333">
        <v>39035185203</v>
      </c>
      <c r="B3701" t="s">
        <v>783</v>
      </c>
      <c r="C3701" s="341" t="s">
        <v>5334</v>
      </c>
    </row>
    <row r="3702" spans="1:3" x14ac:dyDescent="0.2">
      <c r="A3702" s="333">
        <v>39035186103</v>
      </c>
      <c r="B3702" t="s">
        <v>784</v>
      </c>
      <c r="C3702" s="341" t="s">
        <v>5334</v>
      </c>
    </row>
    <row r="3703" spans="1:3" x14ac:dyDescent="0.2">
      <c r="A3703" s="333">
        <v>39035186104</v>
      </c>
      <c r="B3703" t="s">
        <v>785</v>
      </c>
      <c r="C3703" s="341" t="s">
        <v>5334</v>
      </c>
    </row>
    <row r="3704" spans="1:3" x14ac:dyDescent="0.2">
      <c r="A3704" s="333">
        <v>39035186105</v>
      </c>
      <c r="B3704" t="s">
        <v>786</v>
      </c>
      <c r="C3704" s="341" t="s">
        <v>5334</v>
      </c>
    </row>
    <row r="3705" spans="1:3" x14ac:dyDescent="0.2">
      <c r="A3705" s="333">
        <v>39035186106</v>
      </c>
      <c r="B3705" t="s">
        <v>787</v>
      </c>
      <c r="C3705" s="341" t="s">
        <v>5334</v>
      </c>
    </row>
    <row r="3706" spans="1:3" x14ac:dyDescent="0.2">
      <c r="A3706" s="333">
        <v>39035186107</v>
      </c>
      <c r="B3706" t="s">
        <v>788</v>
      </c>
      <c r="C3706" s="341" t="s">
        <v>5334</v>
      </c>
    </row>
    <row r="3707" spans="1:3" x14ac:dyDescent="0.2">
      <c r="A3707" s="333">
        <v>39035186201</v>
      </c>
      <c r="B3707" t="s">
        <v>789</v>
      </c>
      <c r="C3707" s="341" t="s">
        <v>5334</v>
      </c>
    </row>
    <row r="3708" spans="1:3" x14ac:dyDescent="0.2">
      <c r="A3708" s="333">
        <v>39035186202</v>
      </c>
      <c r="B3708" t="s">
        <v>790</v>
      </c>
      <c r="C3708" s="341" t="s">
        <v>5334</v>
      </c>
    </row>
    <row r="3709" spans="1:3" x14ac:dyDescent="0.2">
      <c r="A3709" s="333">
        <v>39035186203</v>
      </c>
      <c r="B3709" t="s">
        <v>791</v>
      </c>
      <c r="C3709" s="341" t="s">
        <v>5334</v>
      </c>
    </row>
    <row r="3710" spans="1:3" x14ac:dyDescent="0.2">
      <c r="A3710" s="333">
        <v>39035186205</v>
      </c>
      <c r="B3710" t="s">
        <v>792</v>
      </c>
      <c r="C3710" s="341" t="s">
        <v>5334</v>
      </c>
    </row>
    <row r="3711" spans="1:3" x14ac:dyDescent="0.2">
      <c r="A3711" s="333">
        <v>39035186206</v>
      </c>
      <c r="B3711" t="s">
        <v>793</v>
      </c>
      <c r="C3711" s="341" t="s">
        <v>5334</v>
      </c>
    </row>
    <row r="3712" spans="1:3" x14ac:dyDescent="0.2">
      <c r="A3712" s="333">
        <v>39035187103</v>
      </c>
      <c r="B3712" t="s">
        <v>794</v>
      </c>
      <c r="C3712" s="341" t="s">
        <v>5334</v>
      </c>
    </row>
    <row r="3713" spans="1:3" x14ac:dyDescent="0.2">
      <c r="A3713" s="333">
        <v>39035187104</v>
      </c>
      <c r="B3713" t="s">
        <v>795</v>
      </c>
      <c r="C3713" s="341" t="s">
        <v>5334</v>
      </c>
    </row>
    <row r="3714" spans="1:3" x14ac:dyDescent="0.2">
      <c r="A3714" s="333">
        <v>39035187105</v>
      </c>
      <c r="B3714" t="s">
        <v>796</v>
      </c>
      <c r="C3714" s="341" t="s">
        <v>5334</v>
      </c>
    </row>
    <row r="3715" spans="1:3" x14ac:dyDescent="0.2">
      <c r="A3715" s="333">
        <v>39035187106</v>
      </c>
      <c r="B3715" t="s">
        <v>797</v>
      </c>
      <c r="C3715" s="341" t="s">
        <v>5334</v>
      </c>
    </row>
    <row r="3716" spans="1:3" x14ac:dyDescent="0.2">
      <c r="A3716" s="333">
        <v>39035188103</v>
      </c>
      <c r="B3716" t="s">
        <v>798</v>
      </c>
      <c r="C3716" s="341" t="s">
        <v>4330</v>
      </c>
    </row>
    <row r="3717" spans="1:3" x14ac:dyDescent="0.2">
      <c r="A3717" s="333">
        <v>39035188106</v>
      </c>
      <c r="B3717" t="s">
        <v>801</v>
      </c>
      <c r="C3717" s="341" t="s">
        <v>5334</v>
      </c>
    </row>
    <row r="3718" spans="1:3" x14ac:dyDescent="0.2">
      <c r="A3718" s="333">
        <v>39035188107</v>
      </c>
      <c r="B3718" t="s">
        <v>802</v>
      </c>
      <c r="C3718" s="341" t="s">
        <v>4330</v>
      </c>
    </row>
    <row r="3719" spans="1:3" x14ac:dyDescent="0.2">
      <c r="A3719" s="333">
        <v>39035189105</v>
      </c>
      <c r="B3719" t="s">
        <v>803</v>
      </c>
      <c r="C3719" s="341" t="s">
        <v>5334</v>
      </c>
    </row>
    <row r="3720" spans="1:3" x14ac:dyDescent="0.2">
      <c r="A3720" s="333">
        <v>39035189107</v>
      </c>
      <c r="B3720" t="s">
        <v>804</v>
      </c>
      <c r="C3720" s="341" t="s">
        <v>5334</v>
      </c>
    </row>
    <row r="3721" spans="1:3" x14ac:dyDescent="0.2">
      <c r="A3721" s="333">
        <v>39035189108</v>
      </c>
      <c r="B3721" t="s">
        <v>805</v>
      </c>
      <c r="C3721" s="341" t="s">
        <v>5334</v>
      </c>
    </row>
    <row r="3722" spans="1:3" x14ac:dyDescent="0.2">
      <c r="A3722" s="333">
        <v>39035189109</v>
      </c>
      <c r="B3722" t="s">
        <v>806</v>
      </c>
      <c r="C3722" s="341" t="s">
        <v>5334</v>
      </c>
    </row>
    <row r="3723" spans="1:3" x14ac:dyDescent="0.2">
      <c r="A3723" s="333">
        <v>39035189110</v>
      </c>
      <c r="B3723" t="s">
        <v>807</v>
      </c>
      <c r="C3723" s="341" t="s">
        <v>5334</v>
      </c>
    </row>
    <row r="3724" spans="1:3" x14ac:dyDescent="0.2">
      <c r="A3724" s="333">
        <v>39035189111</v>
      </c>
      <c r="B3724" t="s">
        <v>808</v>
      </c>
      <c r="C3724" s="341" t="s">
        <v>5334</v>
      </c>
    </row>
    <row r="3725" spans="1:3" x14ac:dyDescent="0.2">
      <c r="A3725" s="333">
        <v>39035189112</v>
      </c>
      <c r="B3725" t="s">
        <v>809</v>
      </c>
      <c r="C3725" s="341" t="s">
        <v>5334</v>
      </c>
    </row>
    <row r="3726" spans="1:3" x14ac:dyDescent="0.2">
      <c r="A3726" s="333">
        <v>39035190502</v>
      </c>
      <c r="B3726" t="s">
        <v>810</v>
      </c>
      <c r="C3726" s="341" t="s">
        <v>5334</v>
      </c>
    </row>
    <row r="3727" spans="1:3" x14ac:dyDescent="0.2">
      <c r="A3727" s="333">
        <v>39035190503</v>
      </c>
      <c r="B3727" t="s">
        <v>811</v>
      </c>
      <c r="C3727" s="341" t="s">
        <v>5334</v>
      </c>
    </row>
    <row r="3728" spans="1:3" x14ac:dyDescent="0.2">
      <c r="A3728" s="333">
        <v>39035190505</v>
      </c>
      <c r="B3728" t="s">
        <v>5406</v>
      </c>
      <c r="C3728" s="341" t="s">
        <v>5334</v>
      </c>
    </row>
    <row r="3729" spans="1:3" x14ac:dyDescent="0.2">
      <c r="A3729" s="333">
        <v>39035190506</v>
      </c>
      <c r="B3729" t="s">
        <v>5407</v>
      </c>
      <c r="C3729" s="341" t="s">
        <v>5334</v>
      </c>
    </row>
    <row r="3730" spans="1:3" x14ac:dyDescent="0.2">
      <c r="A3730" s="333">
        <v>39035192300</v>
      </c>
      <c r="B3730" t="s">
        <v>813</v>
      </c>
      <c r="C3730" s="341" t="s">
        <v>5334</v>
      </c>
    </row>
    <row r="3731" spans="1:3" x14ac:dyDescent="0.2">
      <c r="A3731" s="333">
        <v>39035192800</v>
      </c>
      <c r="B3731" t="s">
        <v>814</v>
      </c>
      <c r="C3731" s="341" t="s">
        <v>5334</v>
      </c>
    </row>
    <row r="3732" spans="1:3" x14ac:dyDescent="0.2">
      <c r="A3732" s="333">
        <v>39035192900</v>
      </c>
      <c r="B3732" t="s">
        <v>815</v>
      </c>
      <c r="C3732" s="341" t="s">
        <v>5334</v>
      </c>
    </row>
    <row r="3733" spans="1:3" x14ac:dyDescent="0.2">
      <c r="A3733" s="333">
        <v>39035194100</v>
      </c>
      <c r="B3733" t="s">
        <v>818</v>
      </c>
      <c r="C3733" s="341" t="s">
        <v>5334</v>
      </c>
    </row>
    <row r="3734" spans="1:3" x14ac:dyDescent="0.2">
      <c r="A3734" s="333">
        <v>39035194300</v>
      </c>
      <c r="B3734" t="s">
        <v>819</v>
      </c>
      <c r="C3734" s="341" t="s">
        <v>5334</v>
      </c>
    </row>
    <row r="3735" spans="1:3" x14ac:dyDescent="0.2">
      <c r="A3735" s="333">
        <v>39035194500</v>
      </c>
      <c r="B3735" t="s">
        <v>820</v>
      </c>
      <c r="C3735" s="341" t="s">
        <v>5334</v>
      </c>
    </row>
    <row r="3736" spans="1:3" x14ac:dyDescent="0.2">
      <c r="A3736" s="333">
        <v>39035195600</v>
      </c>
      <c r="B3736" t="s">
        <v>823</v>
      </c>
      <c r="C3736" s="341" t="s">
        <v>5334</v>
      </c>
    </row>
    <row r="3737" spans="1:3" x14ac:dyDescent="0.2">
      <c r="A3737" s="333">
        <v>39035195700</v>
      </c>
      <c r="B3737" t="s">
        <v>824</v>
      </c>
      <c r="C3737" s="341" t="s">
        <v>5334</v>
      </c>
    </row>
    <row r="3738" spans="1:3" x14ac:dyDescent="0.2">
      <c r="A3738" s="333">
        <v>39035195800</v>
      </c>
      <c r="B3738" t="s">
        <v>825</v>
      </c>
      <c r="C3738" s="341" t="s">
        <v>5334</v>
      </c>
    </row>
    <row r="3739" spans="1:3" x14ac:dyDescent="0.2">
      <c r="A3739" s="333">
        <v>39035195900</v>
      </c>
      <c r="B3739" t="s">
        <v>826</v>
      </c>
      <c r="C3739" s="341" t="s">
        <v>5334</v>
      </c>
    </row>
    <row r="3740" spans="1:3" x14ac:dyDescent="0.2">
      <c r="A3740" s="333">
        <v>39035196000</v>
      </c>
      <c r="B3740" t="s">
        <v>827</v>
      </c>
      <c r="C3740" s="341" t="s">
        <v>5334</v>
      </c>
    </row>
    <row r="3741" spans="1:3" x14ac:dyDescent="0.2">
      <c r="A3741" s="333">
        <v>39035196100</v>
      </c>
      <c r="B3741" t="s">
        <v>828</v>
      </c>
      <c r="C3741" s="341" t="s">
        <v>5334</v>
      </c>
    </row>
    <row r="3742" spans="1:3" x14ac:dyDescent="0.2">
      <c r="A3742" s="333">
        <v>39035196200</v>
      </c>
      <c r="B3742" t="s">
        <v>829</v>
      </c>
      <c r="C3742" s="341" t="s">
        <v>4330</v>
      </c>
    </row>
    <row r="3743" spans="1:3" x14ac:dyDescent="0.2">
      <c r="A3743" s="333">
        <v>39035196300</v>
      </c>
      <c r="B3743" t="s">
        <v>830</v>
      </c>
      <c r="C3743" s="341" t="s">
        <v>5334</v>
      </c>
    </row>
    <row r="3744" spans="1:3" x14ac:dyDescent="0.2">
      <c r="A3744" s="333">
        <v>39035196400</v>
      </c>
      <c r="B3744" t="s">
        <v>831</v>
      </c>
      <c r="C3744" s="341" t="s">
        <v>4330</v>
      </c>
    </row>
    <row r="3745" spans="1:3" x14ac:dyDescent="0.2">
      <c r="A3745" s="333">
        <v>39035196800</v>
      </c>
      <c r="B3745" t="s">
        <v>5408</v>
      </c>
      <c r="C3745" s="341" t="s">
        <v>4330</v>
      </c>
    </row>
    <row r="3746" spans="1:3" x14ac:dyDescent="0.2">
      <c r="A3746" s="333">
        <v>39035197000</v>
      </c>
      <c r="B3746" t="s">
        <v>5409</v>
      </c>
      <c r="C3746" s="341" t="s">
        <v>5334</v>
      </c>
    </row>
    <row r="3747" spans="1:3" x14ac:dyDescent="0.2">
      <c r="A3747" s="333">
        <v>39035197100</v>
      </c>
      <c r="B3747" t="s">
        <v>5410</v>
      </c>
      <c r="C3747" s="341" t="s">
        <v>5334</v>
      </c>
    </row>
    <row r="3748" spans="1:3" x14ac:dyDescent="0.2">
      <c r="A3748" s="333">
        <v>39035197200</v>
      </c>
      <c r="B3748" t="s">
        <v>5411</v>
      </c>
      <c r="C3748" s="341" t="s">
        <v>4330</v>
      </c>
    </row>
    <row r="3749" spans="1:3" x14ac:dyDescent="0.2">
      <c r="A3749" s="333">
        <v>39035197300</v>
      </c>
      <c r="B3749" t="s">
        <v>5412</v>
      </c>
      <c r="C3749" s="341" t="s">
        <v>4330</v>
      </c>
    </row>
    <row r="3750" spans="1:3" x14ac:dyDescent="0.2">
      <c r="A3750" s="333">
        <v>39035197400</v>
      </c>
      <c r="B3750" t="s">
        <v>5413</v>
      </c>
      <c r="C3750" s="341" t="s">
        <v>4330</v>
      </c>
    </row>
    <row r="3751" spans="1:3" x14ac:dyDescent="0.2">
      <c r="A3751" s="333">
        <v>39035197500</v>
      </c>
      <c r="B3751" t="s">
        <v>5414</v>
      </c>
      <c r="C3751" s="341" t="s">
        <v>5334</v>
      </c>
    </row>
    <row r="3752" spans="1:3" x14ac:dyDescent="0.2">
      <c r="A3752" s="333">
        <v>39035197600</v>
      </c>
      <c r="B3752" t="s">
        <v>5415</v>
      </c>
      <c r="C3752" s="341" t="s">
        <v>4330</v>
      </c>
    </row>
    <row r="3753" spans="1:3" x14ac:dyDescent="0.2">
      <c r="A3753" s="333">
        <v>39035197700</v>
      </c>
      <c r="B3753" t="s">
        <v>5416</v>
      </c>
      <c r="C3753" s="341" t="s">
        <v>4330</v>
      </c>
    </row>
    <row r="3754" spans="1:3" x14ac:dyDescent="0.2">
      <c r="A3754" s="333">
        <v>39035197800</v>
      </c>
      <c r="B3754" t="s">
        <v>5417</v>
      </c>
      <c r="C3754" s="341" t="s">
        <v>5334</v>
      </c>
    </row>
    <row r="3755" spans="1:3" x14ac:dyDescent="0.2">
      <c r="A3755" s="333">
        <v>39035197900</v>
      </c>
      <c r="B3755" t="s">
        <v>5418</v>
      </c>
      <c r="C3755" s="341" t="s">
        <v>4330</v>
      </c>
    </row>
    <row r="3756" spans="1:3" x14ac:dyDescent="0.2">
      <c r="A3756" s="333">
        <v>39035198000</v>
      </c>
      <c r="B3756" t="s">
        <v>5419</v>
      </c>
      <c r="C3756" s="341" t="s">
        <v>4330</v>
      </c>
    </row>
    <row r="3757" spans="1:3" x14ac:dyDescent="0.2">
      <c r="A3757" s="333">
        <v>39035198100</v>
      </c>
      <c r="B3757" t="s">
        <v>5420</v>
      </c>
      <c r="C3757" s="341" t="s">
        <v>4330</v>
      </c>
    </row>
    <row r="3758" spans="1:3" x14ac:dyDescent="0.2">
      <c r="A3758" s="333">
        <v>39035198200</v>
      </c>
      <c r="B3758" t="s">
        <v>5421</v>
      </c>
      <c r="C3758" s="341" t="s">
        <v>4330</v>
      </c>
    </row>
    <row r="3759" spans="1:3" x14ac:dyDescent="0.2">
      <c r="A3759" s="333">
        <v>39035198300</v>
      </c>
      <c r="B3759" t="s">
        <v>5422</v>
      </c>
      <c r="C3759" s="341" t="s">
        <v>4330</v>
      </c>
    </row>
    <row r="3760" spans="1:3" x14ac:dyDescent="0.2">
      <c r="A3760" s="333">
        <v>39035198400</v>
      </c>
      <c r="B3760" t="s">
        <v>5423</v>
      </c>
      <c r="C3760" s="341" t="s">
        <v>4330</v>
      </c>
    </row>
    <row r="3761" spans="1:3" x14ac:dyDescent="0.2">
      <c r="A3761" s="333">
        <v>39035198500</v>
      </c>
      <c r="B3761" t="s">
        <v>5424</v>
      </c>
      <c r="C3761" s="341" t="s">
        <v>4330</v>
      </c>
    </row>
    <row r="3762" spans="1:3" x14ac:dyDescent="0.2">
      <c r="A3762" s="333">
        <v>39035198600</v>
      </c>
      <c r="B3762" t="s">
        <v>5425</v>
      </c>
      <c r="C3762" s="341" t="s">
        <v>4330</v>
      </c>
    </row>
    <row r="3763" spans="1:3" x14ac:dyDescent="0.2">
      <c r="A3763" s="333">
        <v>39035198700</v>
      </c>
      <c r="B3763" t="s">
        <v>5426</v>
      </c>
      <c r="C3763" s="341" t="s">
        <v>5334</v>
      </c>
    </row>
    <row r="3764" spans="1:3" x14ac:dyDescent="0.2">
      <c r="A3764" s="333">
        <v>39035198800</v>
      </c>
      <c r="B3764" t="s">
        <v>5427</v>
      </c>
      <c r="C3764" s="341" t="s">
        <v>4330</v>
      </c>
    </row>
    <row r="3765" spans="1:3" x14ac:dyDescent="0.2">
      <c r="A3765" s="333">
        <v>39035198900</v>
      </c>
      <c r="B3765" t="s">
        <v>5428</v>
      </c>
      <c r="C3765" s="341" t="s">
        <v>4330</v>
      </c>
    </row>
    <row r="3766" spans="1:3" x14ac:dyDescent="0.2">
      <c r="A3766" s="333">
        <v>39035199000</v>
      </c>
      <c r="B3766" t="s">
        <v>5429</v>
      </c>
      <c r="C3766" s="341" t="s">
        <v>4330</v>
      </c>
    </row>
    <row r="3767" spans="1:3" x14ac:dyDescent="0.2">
      <c r="A3767" s="333">
        <v>39035199100</v>
      </c>
      <c r="B3767" t="s">
        <v>5430</v>
      </c>
      <c r="C3767" s="341" t="s">
        <v>4330</v>
      </c>
    </row>
    <row r="3768" spans="1:3" x14ac:dyDescent="0.2">
      <c r="A3768" s="333">
        <v>39035199200</v>
      </c>
      <c r="B3768" t="s">
        <v>5431</v>
      </c>
      <c r="C3768" s="341" t="s">
        <v>4330</v>
      </c>
    </row>
    <row r="3769" spans="1:3" x14ac:dyDescent="0.2">
      <c r="A3769" s="333">
        <v>39035199300</v>
      </c>
      <c r="B3769" t="s">
        <v>5432</v>
      </c>
      <c r="C3769" s="341" t="s">
        <v>4330</v>
      </c>
    </row>
    <row r="3770" spans="1:3" x14ac:dyDescent="0.2">
      <c r="A3770" s="333">
        <v>39035980100</v>
      </c>
      <c r="B3770" t="s">
        <v>833</v>
      </c>
      <c r="C3770" s="341" t="s">
        <v>5334</v>
      </c>
    </row>
    <row r="3771" spans="1:3" x14ac:dyDescent="0.2">
      <c r="A3771" s="333">
        <v>39035980200</v>
      </c>
      <c r="B3771" t="s">
        <v>5433</v>
      </c>
      <c r="C3771" s="341" t="s">
        <v>5334</v>
      </c>
    </row>
    <row r="3772" spans="1:3" x14ac:dyDescent="0.2">
      <c r="A3772" s="333">
        <v>39035980500</v>
      </c>
      <c r="B3772" t="s">
        <v>834</v>
      </c>
      <c r="C3772" s="341" t="s">
        <v>5334</v>
      </c>
    </row>
    <row r="3773" spans="1:3" x14ac:dyDescent="0.2">
      <c r="A3773" s="333">
        <v>39035980900</v>
      </c>
      <c r="B3773" t="s">
        <v>5434</v>
      </c>
      <c r="C3773" s="341" t="s">
        <v>5334</v>
      </c>
    </row>
    <row r="3774" spans="1:3" x14ac:dyDescent="0.2">
      <c r="A3774" s="333">
        <v>39035981000</v>
      </c>
      <c r="B3774" t="s">
        <v>5435</v>
      </c>
      <c r="C3774" s="341" t="s">
        <v>5334</v>
      </c>
    </row>
    <row r="3775" spans="1:3" x14ac:dyDescent="0.2">
      <c r="A3775" s="333">
        <v>39035981100</v>
      </c>
      <c r="B3775" t="s">
        <v>835</v>
      </c>
      <c r="C3775" s="341" t="s">
        <v>5334</v>
      </c>
    </row>
    <row r="3776" spans="1:3" x14ac:dyDescent="0.2">
      <c r="A3776" s="333">
        <v>39035990000</v>
      </c>
      <c r="B3776" t="s">
        <v>5436</v>
      </c>
      <c r="C3776" s="341" t="s">
        <v>5334</v>
      </c>
    </row>
    <row r="3777" spans="1:3" x14ac:dyDescent="0.2">
      <c r="A3777" s="333">
        <v>39037500100</v>
      </c>
      <c r="B3777" t="s">
        <v>836</v>
      </c>
      <c r="C3777" s="341" t="s">
        <v>5334</v>
      </c>
    </row>
    <row r="3778" spans="1:3" x14ac:dyDescent="0.2">
      <c r="A3778" s="333">
        <v>39037510100</v>
      </c>
      <c r="B3778" t="s">
        <v>837</v>
      </c>
      <c r="C3778" s="341" t="s">
        <v>5334</v>
      </c>
    </row>
    <row r="3779" spans="1:3" x14ac:dyDescent="0.2">
      <c r="A3779" s="333">
        <v>39037520100</v>
      </c>
      <c r="B3779" t="s">
        <v>838</v>
      </c>
      <c r="C3779" s="341" t="s">
        <v>5334</v>
      </c>
    </row>
    <row r="3780" spans="1:3" x14ac:dyDescent="0.2">
      <c r="A3780" s="333">
        <v>39037530100</v>
      </c>
      <c r="B3780" t="s">
        <v>839</v>
      </c>
      <c r="C3780" s="341" t="s">
        <v>5334</v>
      </c>
    </row>
    <row r="3781" spans="1:3" x14ac:dyDescent="0.2">
      <c r="A3781" s="333">
        <v>39037540100</v>
      </c>
      <c r="B3781" t="s">
        <v>840</v>
      </c>
      <c r="C3781" s="341" t="s">
        <v>5334</v>
      </c>
    </row>
    <row r="3782" spans="1:3" x14ac:dyDescent="0.2">
      <c r="A3782" s="333">
        <v>39037550100</v>
      </c>
      <c r="B3782" t="s">
        <v>841</v>
      </c>
      <c r="C3782" s="341" t="s">
        <v>5334</v>
      </c>
    </row>
    <row r="3783" spans="1:3" x14ac:dyDescent="0.2">
      <c r="A3783" s="333">
        <v>39037555001</v>
      </c>
      <c r="B3783" t="s">
        <v>5437</v>
      </c>
      <c r="C3783" s="341" t="s">
        <v>5334</v>
      </c>
    </row>
    <row r="3784" spans="1:3" x14ac:dyDescent="0.2">
      <c r="A3784" s="333">
        <v>39037555002</v>
      </c>
      <c r="B3784" t="s">
        <v>5438</v>
      </c>
      <c r="C3784" s="341" t="s">
        <v>5334</v>
      </c>
    </row>
    <row r="3785" spans="1:3" x14ac:dyDescent="0.2">
      <c r="A3785" s="333">
        <v>39037555101</v>
      </c>
      <c r="B3785" t="s">
        <v>843</v>
      </c>
      <c r="C3785" s="341" t="s">
        <v>5334</v>
      </c>
    </row>
    <row r="3786" spans="1:3" x14ac:dyDescent="0.2">
      <c r="A3786" s="333">
        <v>39037555102</v>
      </c>
      <c r="B3786" t="s">
        <v>844</v>
      </c>
      <c r="C3786" s="341" t="s">
        <v>4330</v>
      </c>
    </row>
    <row r="3787" spans="1:3" x14ac:dyDescent="0.2">
      <c r="A3787" s="333">
        <v>39037560101</v>
      </c>
      <c r="B3787" t="s">
        <v>5439</v>
      </c>
      <c r="C3787" s="341" t="s">
        <v>5334</v>
      </c>
    </row>
    <row r="3788" spans="1:3" x14ac:dyDescent="0.2">
      <c r="A3788" s="333">
        <v>39037560102</v>
      </c>
      <c r="B3788" t="s">
        <v>5440</v>
      </c>
      <c r="C3788" s="341" t="s">
        <v>5334</v>
      </c>
    </row>
    <row r="3789" spans="1:3" x14ac:dyDescent="0.2">
      <c r="A3789" s="333">
        <v>39037570101</v>
      </c>
      <c r="B3789" t="s">
        <v>846</v>
      </c>
      <c r="C3789" s="341" t="s">
        <v>5334</v>
      </c>
    </row>
    <row r="3790" spans="1:3" x14ac:dyDescent="0.2">
      <c r="A3790" s="333">
        <v>39037570102</v>
      </c>
      <c r="B3790" t="s">
        <v>847</v>
      </c>
      <c r="C3790" s="341" t="s">
        <v>5334</v>
      </c>
    </row>
    <row r="3791" spans="1:3" x14ac:dyDescent="0.2">
      <c r="A3791" s="333">
        <v>39039958100</v>
      </c>
      <c r="B3791" t="s">
        <v>848</v>
      </c>
      <c r="C3791" s="341" t="s">
        <v>5334</v>
      </c>
    </row>
    <row r="3792" spans="1:3" x14ac:dyDescent="0.2">
      <c r="A3792" s="333">
        <v>39039958200</v>
      </c>
      <c r="B3792" t="s">
        <v>849</v>
      </c>
      <c r="C3792" s="341" t="s">
        <v>5334</v>
      </c>
    </row>
    <row r="3793" spans="1:3" x14ac:dyDescent="0.2">
      <c r="A3793" s="333">
        <v>39039958300</v>
      </c>
      <c r="B3793" t="s">
        <v>850</v>
      </c>
      <c r="C3793" s="341" t="s">
        <v>5334</v>
      </c>
    </row>
    <row r="3794" spans="1:3" x14ac:dyDescent="0.2">
      <c r="A3794" s="333">
        <v>39039958400</v>
      </c>
      <c r="B3794" t="s">
        <v>851</v>
      </c>
      <c r="C3794" s="341" t="s">
        <v>5334</v>
      </c>
    </row>
    <row r="3795" spans="1:3" x14ac:dyDescent="0.2">
      <c r="A3795" s="333">
        <v>39039958500</v>
      </c>
      <c r="B3795" t="s">
        <v>852</v>
      </c>
      <c r="C3795" s="341" t="s">
        <v>5334</v>
      </c>
    </row>
    <row r="3796" spans="1:3" x14ac:dyDescent="0.2">
      <c r="A3796" s="333">
        <v>39039958600</v>
      </c>
      <c r="B3796" t="s">
        <v>853</v>
      </c>
      <c r="C3796" s="341" t="s">
        <v>5334</v>
      </c>
    </row>
    <row r="3797" spans="1:3" x14ac:dyDescent="0.2">
      <c r="A3797" s="333">
        <v>39039958700</v>
      </c>
      <c r="B3797" t="s">
        <v>854</v>
      </c>
      <c r="C3797" s="341" t="s">
        <v>5334</v>
      </c>
    </row>
    <row r="3798" spans="1:3" x14ac:dyDescent="0.2">
      <c r="A3798" s="333">
        <v>39039958800</v>
      </c>
      <c r="B3798" t="s">
        <v>855</v>
      </c>
      <c r="C3798" s="341" t="s">
        <v>5334</v>
      </c>
    </row>
    <row r="3799" spans="1:3" x14ac:dyDescent="0.2">
      <c r="A3799" s="333">
        <v>39039958900</v>
      </c>
      <c r="B3799" t="s">
        <v>856</v>
      </c>
      <c r="C3799" s="341" t="s">
        <v>5334</v>
      </c>
    </row>
    <row r="3800" spans="1:3" x14ac:dyDescent="0.2">
      <c r="A3800" s="333">
        <v>39041010100</v>
      </c>
      <c r="B3800" t="s">
        <v>857</v>
      </c>
      <c r="C3800" s="341" t="s">
        <v>5334</v>
      </c>
    </row>
    <row r="3801" spans="1:3" x14ac:dyDescent="0.2">
      <c r="A3801" s="333">
        <v>39041010200</v>
      </c>
      <c r="B3801" t="s">
        <v>858</v>
      </c>
      <c r="C3801" s="341" t="s">
        <v>5334</v>
      </c>
    </row>
    <row r="3802" spans="1:3" x14ac:dyDescent="0.2">
      <c r="A3802" s="333">
        <v>39041010420</v>
      </c>
      <c r="B3802" t="s">
        <v>859</v>
      </c>
      <c r="C3802" s="341" t="s">
        <v>5334</v>
      </c>
    </row>
    <row r="3803" spans="1:3" x14ac:dyDescent="0.2">
      <c r="A3803" s="333">
        <v>39041010421</v>
      </c>
      <c r="B3803" t="s">
        <v>860</v>
      </c>
      <c r="C3803" s="341" t="s">
        <v>5334</v>
      </c>
    </row>
    <row r="3804" spans="1:3" x14ac:dyDescent="0.2">
      <c r="A3804" s="333">
        <v>39041010422</v>
      </c>
      <c r="B3804" t="s">
        <v>861</v>
      </c>
      <c r="C3804" s="341" t="s">
        <v>5334</v>
      </c>
    </row>
    <row r="3805" spans="1:3" x14ac:dyDescent="0.2">
      <c r="A3805" s="333">
        <v>39041010520</v>
      </c>
      <c r="B3805" t="s">
        <v>862</v>
      </c>
      <c r="C3805" s="341" t="s">
        <v>5334</v>
      </c>
    </row>
    <row r="3806" spans="1:3" x14ac:dyDescent="0.2">
      <c r="A3806" s="333">
        <v>39041010530</v>
      </c>
      <c r="B3806" t="s">
        <v>863</v>
      </c>
      <c r="C3806" s="341" t="s">
        <v>4330</v>
      </c>
    </row>
    <row r="3807" spans="1:3" x14ac:dyDescent="0.2">
      <c r="A3807" s="333">
        <v>39041011101</v>
      </c>
      <c r="B3807" t="s">
        <v>864</v>
      </c>
      <c r="C3807" s="341" t="s">
        <v>5334</v>
      </c>
    </row>
    <row r="3808" spans="1:3" x14ac:dyDescent="0.2">
      <c r="A3808" s="333">
        <v>39041011102</v>
      </c>
      <c r="B3808" t="s">
        <v>865</v>
      </c>
      <c r="C3808" s="341" t="s">
        <v>5334</v>
      </c>
    </row>
    <row r="3809" spans="1:3" x14ac:dyDescent="0.2">
      <c r="A3809" s="333">
        <v>39041011200</v>
      </c>
      <c r="B3809" t="s">
        <v>866</v>
      </c>
      <c r="C3809" s="341" t="s">
        <v>5334</v>
      </c>
    </row>
    <row r="3810" spans="1:3" x14ac:dyDescent="0.2">
      <c r="A3810" s="333">
        <v>39041011411</v>
      </c>
      <c r="B3810" t="s">
        <v>867</v>
      </c>
      <c r="C3810" s="341" t="s">
        <v>5334</v>
      </c>
    </row>
    <row r="3811" spans="1:3" x14ac:dyDescent="0.2">
      <c r="A3811" s="333">
        <v>39041011412</v>
      </c>
      <c r="B3811" t="s">
        <v>868</v>
      </c>
      <c r="C3811" s="341" t="s">
        <v>5334</v>
      </c>
    </row>
    <row r="3812" spans="1:3" x14ac:dyDescent="0.2">
      <c r="A3812" s="333">
        <v>39041011421</v>
      </c>
      <c r="B3812" t="s">
        <v>870</v>
      </c>
      <c r="C3812" s="341" t="s">
        <v>5334</v>
      </c>
    </row>
    <row r="3813" spans="1:3" x14ac:dyDescent="0.2">
      <c r="A3813" s="333">
        <v>39041011423</v>
      </c>
      <c r="B3813" t="s">
        <v>871</v>
      </c>
      <c r="C3813" s="341" t="s">
        <v>5334</v>
      </c>
    </row>
    <row r="3814" spans="1:3" x14ac:dyDescent="0.2">
      <c r="A3814" s="333">
        <v>39041011430</v>
      </c>
      <c r="B3814" t="s">
        <v>872</v>
      </c>
      <c r="C3814" s="341" t="s">
        <v>5334</v>
      </c>
    </row>
    <row r="3815" spans="1:3" x14ac:dyDescent="0.2">
      <c r="A3815" s="333">
        <v>39041011431</v>
      </c>
      <c r="B3815" t="s">
        <v>5441</v>
      </c>
      <c r="C3815" s="341" t="s">
        <v>5334</v>
      </c>
    </row>
    <row r="3816" spans="1:3" x14ac:dyDescent="0.2">
      <c r="A3816" s="333">
        <v>39041011432</v>
      </c>
      <c r="B3816" t="s">
        <v>5442</v>
      </c>
      <c r="C3816" s="341" t="s">
        <v>5334</v>
      </c>
    </row>
    <row r="3817" spans="1:3" x14ac:dyDescent="0.2">
      <c r="A3817" s="333">
        <v>39041011520</v>
      </c>
      <c r="B3817" t="s">
        <v>873</v>
      </c>
      <c r="C3817" s="341" t="s">
        <v>5334</v>
      </c>
    </row>
    <row r="3818" spans="1:3" x14ac:dyDescent="0.2">
      <c r="A3818" s="333">
        <v>39041011530</v>
      </c>
      <c r="B3818" t="s">
        <v>874</v>
      </c>
      <c r="C3818" s="341" t="s">
        <v>5334</v>
      </c>
    </row>
    <row r="3819" spans="1:3" x14ac:dyDescent="0.2">
      <c r="A3819" s="333">
        <v>39041011540</v>
      </c>
      <c r="B3819" t="s">
        <v>875</v>
      </c>
      <c r="C3819" s="341" t="s">
        <v>5334</v>
      </c>
    </row>
    <row r="3820" spans="1:3" x14ac:dyDescent="0.2">
      <c r="A3820" s="333">
        <v>39041011561</v>
      </c>
      <c r="B3820" t="s">
        <v>878</v>
      </c>
      <c r="C3820" s="341" t="s">
        <v>5334</v>
      </c>
    </row>
    <row r="3821" spans="1:3" x14ac:dyDescent="0.2">
      <c r="A3821" s="333">
        <v>39041011562</v>
      </c>
      <c r="B3821" t="s">
        <v>5443</v>
      </c>
      <c r="C3821" s="341" t="s">
        <v>5334</v>
      </c>
    </row>
    <row r="3822" spans="1:3" x14ac:dyDescent="0.2">
      <c r="A3822" s="333">
        <v>39041011563</v>
      </c>
      <c r="B3822" t="s">
        <v>5444</v>
      </c>
      <c r="C3822" s="341" t="s">
        <v>5334</v>
      </c>
    </row>
    <row r="3823" spans="1:3" x14ac:dyDescent="0.2">
      <c r="A3823" s="333">
        <v>39041011564</v>
      </c>
      <c r="B3823" t="s">
        <v>5445</v>
      </c>
      <c r="C3823" s="341" t="s">
        <v>5334</v>
      </c>
    </row>
    <row r="3824" spans="1:3" x14ac:dyDescent="0.2">
      <c r="A3824" s="333">
        <v>39041011565</v>
      </c>
      <c r="B3824" t="s">
        <v>5446</v>
      </c>
      <c r="C3824" s="341" t="s">
        <v>5334</v>
      </c>
    </row>
    <row r="3825" spans="1:3" x14ac:dyDescent="0.2">
      <c r="A3825" s="333">
        <v>39041011604</v>
      </c>
      <c r="B3825" t="s">
        <v>879</v>
      </c>
      <c r="C3825" s="341" t="s">
        <v>5334</v>
      </c>
    </row>
    <row r="3826" spans="1:3" x14ac:dyDescent="0.2">
      <c r="A3826" s="333">
        <v>39041011710</v>
      </c>
      <c r="B3826" t="s">
        <v>880</v>
      </c>
      <c r="C3826" s="341" t="s">
        <v>5334</v>
      </c>
    </row>
    <row r="3827" spans="1:3" x14ac:dyDescent="0.2">
      <c r="A3827" s="333">
        <v>39041011740</v>
      </c>
      <c r="B3827" t="s">
        <v>882</v>
      </c>
      <c r="C3827" s="341" t="s">
        <v>5334</v>
      </c>
    </row>
    <row r="3828" spans="1:3" x14ac:dyDescent="0.2">
      <c r="A3828" s="333">
        <v>39041011760</v>
      </c>
      <c r="B3828" t="s">
        <v>884</v>
      </c>
      <c r="C3828" s="341" t="s">
        <v>5334</v>
      </c>
    </row>
    <row r="3829" spans="1:3" x14ac:dyDescent="0.2">
      <c r="A3829" s="333">
        <v>39041011762</v>
      </c>
      <c r="B3829" t="s">
        <v>885</v>
      </c>
      <c r="C3829" s="341" t="s">
        <v>5334</v>
      </c>
    </row>
    <row r="3830" spans="1:3" x14ac:dyDescent="0.2">
      <c r="A3830" s="333">
        <v>39041011763</v>
      </c>
      <c r="B3830" t="s">
        <v>5447</v>
      </c>
      <c r="C3830" s="341" t="s">
        <v>5334</v>
      </c>
    </row>
    <row r="3831" spans="1:3" x14ac:dyDescent="0.2">
      <c r="A3831" s="333">
        <v>39041011764</v>
      </c>
      <c r="B3831" t="s">
        <v>5448</v>
      </c>
      <c r="C3831" s="341" t="s">
        <v>5334</v>
      </c>
    </row>
    <row r="3832" spans="1:3" x14ac:dyDescent="0.2">
      <c r="A3832" s="333">
        <v>39041011765</v>
      </c>
      <c r="B3832" t="s">
        <v>5449</v>
      </c>
      <c r="C3832" s="341" t="s">
        <v>5334</v>
      </c>
    </row>
    <row r="3833" spans="1:3" x14ac:dyDescent="0.2">
      <c r="A3833" s="333">
        <v>39041011766</v>
      </c>
      <c r="B3833" t="s">
        <v>5450</v>
      </c>
      <c r="C3833" s="341" t="s">
        <v>5334</v>
      </c>
    </row>
    <row r="3834" spans="1:3" x14ac:dyDescent="0.2">
      <c r="A3834" s="333">
        <v>39041011900</v>
      </c>
      <c r="B3834" t="s">
        <v>886</v>
      </c>
      <c r="C3834" s="341" t="s">
        <v>5334</v>
      </c>
    </row>
    <row r="3835" spans="1:3" x14ac:dyDescent="0.2">
      <c r="A3835" s="333">
        <v>39041012000</v>
      </c>
      <c r="B3835" t="s">
        <v>887</v>
      </c>
      <c r="C3835" s="341" t="s">
        <v>5334</v>
      </c>
    </row>
    <row r="3836" spans="1:3" x14ac:dyDescent="0.2">
      <c r="A3836" s="333">
        <v>39041012100</v>
      </c>
      <c r="B3836" t="s">
        <v>888</v>
      </c>
      <c r="C3836" s="341" t="s">
        <v>5334</v>
      </c>
    </row>
    <row r="3837" spans="1:3" x14ac:dyDescent="0.2">
      <c r="A3837" s="333">
        <v>39041012200</v>
      </c>
      <c r="B3837" t="s">
        <v>889</v>
      </c>
      <c r="C3837" s="341" t="s">
        <v>5334</v>
      </c>
    </row>
    <row r="3838" spans="1:3" x14ac:dyDescent="0.2">
      <c r="A3838" s="333">
        <v>39041012300</v>
      </c>
      <c r="B3838" t="s">
        <v>890</v>
      </c>
      <c r="C3838" s="341" t="s">
        <v>5334</v>
      </c>
    </row>
    <row r="3839" spans="1:3" x14ac:dyDescent="0.2">
      <c r="A3839" s="333">
        <v>39041012400</v>
      </c>
      <c r="B3839" t="s">
        <v>891</v>
      </c>
      <c r="C3839" s="341" t="s">
        <v>5334</v>
      </c>
    </row>
    <row r="3840" spans="1:3" x14ac:dyDescent="0.2">
      <c r="A3840" s="333">
        <v>39043040100</v>
      </c>
      <c r="B3840" t="s">
        <v>892</v>
      </c>
      <c r="C3840" s="341" t="s">
        <v>5334</v>
      </c>
    </row>
    <row r="3841" spans="1:3" x14ac:dyDescent="0.2">
      <c r="A3841" s="333">
        <v>39043040200</v>
      </c>
      <c r="B3841" t="s">
        <v>893</v>
      </c>
      <c r="C3841" s="341" t="s">
        <v>5334</v>
      </c>
    </row>
    <row r="3842" spans="1:3" x14ac:dyDescent="0.2">
      <c r="A3842" s="333">
        <v>39043040300</v>
      </c>
      <c r="B3842" t="s">
        <v>894</v>
      </c>
      <c r="C3842" s="341" t="s">
        <v>5334</v>
      </c>
    </row>
    <row r="3843" spans="1:3" x14ac:dyDescent="0.2">
      <c r="A3843" s="333">
        <v>39043040400</v>
      </c>
      <c r="B3843" t="s">
        <v>895</v>
      </c>
      <c r="C3843" s="341" t="s">
        <v>5334</v>
      </c>
    </row>
    <row r="3844" spans="1:3" x14ac:dyDescent="0.2">
      <c r="A3844" s="333">
        <v>39043040500</v>
      </c>
      <c r="B3844" t="s">
        <v>896</v>
      </c>
      <c r="C3844" s="341" t="s">
        <v>5334</v>
      </c>
    </row>
    <row r="3845" spans="1:3" x14ac:dyDescent="0.2">
      <c r="A3845" s="333">
        <v>39043040700</v>
      </c>
      <c r="B3845" t="s">
        <v>898</v>
      </c>
      <c r="C3845" s="341" t="s">
        <v>5334</v>
      </c>
    </row>
    <row r="3846" spans="1:3" x14ac:dyDescent="0.2">
      <c r="A3846" s="333">
        <v>39043040801</v>
      </c>
      <c r="B3846" t="s">
        <v>5451</v>
      </c>
      <c r="C3846" s="341" t="s">
        <v>4330</v>
      </c>
    </row>
    <row r="3847" spans="1:3" x14ac:dyDescent="0.2">
      <c r="A3847" s="333">
        <v>39043040802</v>
      </c>
      <c r="B3847" t="s">
        <v>5452</v>
      </c>
      <c r="C3847" s="341" t="s">
        <v>4330</v>
      </c>
    </row>
    <row r="3848" spans="1:3" x14ac:dyDescent="0.2">
      <c r="A3848" s="333">
        <v>39043040900</v>
      </c>
      <c r="B3848" t="s">
        <v>900</v>
      </c>
      <c r="C3848" s="341" t="s">
        <v>5334</v>
      </c>
    </row>
    <row r="3849" spans="1:3" x14ac:dyDescent="0.2">
      <c r="A3849" s="333">
        <v>39043041000</v>
      </c>
      <c r="B3849" t="s">
        <v>901</v>
      </c>
      <c r="C3849" s="341" t="s">
        <v>4330</v>
      </c>
    </row>
    <row r="3850" spans="1:3" x14ac:dyDescent="0.2">
      <c r="A3850" s="333">
        <v>39043041100</v>
      </c>
      <c r="B3850" t="s">
        <v>902</v>
      </c>
      <c r="C3850" s="341" t="s">
        <v>5334</v>
      </c>
    </row>
    <row r="3851" spans="1:3" x14ac:dyDescent="0.2">
      <c r="A3851" s="333">
        <v>39043041200</v>
      </c>
      <c r="B3851" t="s">
        <v>903</v>
      </c>
      <c r="C3851" s="341" t="s">
        <v>5334</v>
      </c>
    </row>
    <row r="3852" spans="1:3" x14ac:dyDescent="0.2">
      <c r="A3852" s="333">
        <v>39043041300</v>
      </c>
      <c r="B3852" t="s">
        <v>904</v>
      </c>
      <c r="C3852" s="341" t="s">
        <v>5334</v>
      </c>
    </row>
    <row r="3853" spans="1:3" x14ac:dyDescent="0.2">
      <c r="A3853" s="333">
        <v>39043041400</v>
      </c>
      <c r="B3853" t="s">
        <v>905</v>
      </c>
      <c r="C3853" s="341" t="s">
        <v>5334</v>
      </c>
    </row>
    <row r="3854" spans="1:3" x14ac:dyDescent="0.2">
      <c r="A3854" s="333">
        <v>39043041600</v>
      </c>
      <c r="B3854" t="s">
        <v>907</v>
      </c>
      <c r="C3854" s="341" t="s">
        <v>5334</v>
      </c>
    </row>
    <row r="3855" spans="1:3" x14ac:dyDescent="0.2">
      <c r="A3855" s="333">
        <v>39043041701</v>
      </c>
      <c r="B3855" t="s">
        <v>5453</v>
      </c>
      <c r="C3855" s="341" t="s">
        <v>5334</v>
      </c>
    </row>
    <row r="3856" spans="1:3" x14ac:dyDescent="0.2">
      <c r="A3856" s="333">
        <v>39043041702</v>
      </c>
      <c r="B3856" t="s">
        <v>5454</v>
      </c>
      <c r="C3856" s="341" t="s">
        <v>5334</v>
      </c>
    </row>
    <row r="3857" spans="1:3" x14ac:dyDescent="0.2">
      <c r="A3857" s="333">
        <v>39043041800</v>
      </c>
      <c r="B3857" t="s">
        <v>909</v>
      </c>
      <c r="C3857" s="341" t="s">
        <v>5334</v>
      </c>
    </row>
    <row r="3858" spans="1:3" x14ac:dyDescent="0.2">
      <c r="A3858" s="333">
        <v>39043041900</v>
      </c>
      <c r="B3858" t="s">
        <v>5455</v>
      </c>
      <c r="C3858" s="341" t="s">
        <v>5334</v>
      </c>
    </row>
    <row r="3859" spans="1:3" x14ac:dyDescent="0.2">
      <c r="A3859" s="333">
        <v>39043990100</v>
      </c>
      <c r="B3859" t="s">
        <v>5456</v>
      </c>
      <c r="C3859" s="341" t="s">
        <v>5334</v>
      </c>
    </row>
    <row r="3860" spans="1:3" x14ac:dyDescent="0.2">
      <c r="A3860" s="333">
        <v>39045030100</v>
      </c>
      <c r="B3860" t="s">
        <v>910</v>
      </c>
      <c r="C3860" s="341" t="s">
        <v>5334</v>
      </c>
    </row>
    <row r="3861" spans="1:3" x14ac:dyDescent="0.2">
      <c r="A3861" s="333">
        <v>39045030200</v>
      </c>
      <c r="B3861" t="s">
        <v>911</v>
      </c>
      <c r="C3861" s="341" t="s">
        <v>5334</v>
      </c>
    </row>
    <row r="3862" spans="1:3" x14ac:dyDescent="0.2">
      <c r="A3862" s="333">
        <v>39045030300</v>
      </c>
      <c r="B3862" t="s">
        <v>912</v>
      </c>
      <c r="C3862" s="341" t="s">
        <v>5334</v>
      </c>
    </row>
    <row r="3863" spans="1:3" x14ac:dyDescent="0.2">
      <c r="A3863" s="333">
        <v>39045030400</v>
      </c>
      <c r="B3863" t="s">
        <v>913</v>
      </c>
      <c r="C3863" s="341" t="s">
        <v>5334</v>
      </c>
    </row>
    <row r="3864" spans="1:3" x14ac:dyDescent="0.2">
      <c r="A3864" s="333">
        <v>39045030601</v>
      </c>
      <c r="B3864" t="s">
        <v>5457</v>
      </c>
      <c r="C3864" s="341" t="s">
        <v>5334</v>
      </c>
    </row>
    <row r="3865" spans="1:3" x14ac:dyDescent="0.2">
      <c r="A3865" s="333">
        <v>39045030602</v>
      </c>
      <c r="B3865" t="s">
        <v>5458</v>
      </c>
      <c r="C3865" s="341" t="s">
        <v>5334</v>
      </c>
    </row>
    <row r="3866" spans="1:3" x14ac:dyDescent="0.2">
      <c r="A3866" s="333">
        <v>39045030700</v>
      </c>
      <c r="B3866" t="s">
        <v>915</v>
      </c>
      <c r="C3866" s="341" t="s">
        <v>5334</v>
      </c>
    </row>
    <row r="3867" spans="1:3" x14ac:dyDescent="0.2">
      <c r="A3867" s="333">
        <v>39045030800</v>
      </c>
      <c r="B3867" t="s">
        <v>916</v>
      </c>
      <c r="C3867" s="341" t="s">
        <v>5334</v>
      </c>
    </row>
    <row r="3868" spans="1:3" x14ac:dyDescent="0.2">
      <c r="A3868" s="333">
        <v>39045030901</v>
      </c>
      <c r="B3868" t="s">
        <v>5459</v>
      </c>
      <c r="C3868" s="341" t="s">
        <v>5334</v>
      </c>
    </row>
    <row r="3869" spans="1:3" x14ac:dyDescent="0.2">
      <c r="A3869" s="333">
        <v>39045030902</v>
      </c>
      <c r="B3869" t="s">
        <v>5460</v>
      </c>
      <c r="C3869" s="341" t="s">
        <v>5334</v>
      </c>
    </row>
    <row r="3870" spans="1:3" x14ac:dyDescent="0.2">
      <c r="A3870" s="333">
        <v>39045031000</v>
      </c>
      <c r="B3870" t="s">
        <v>918</v>
      </c>
      <c r="C3870" s="341" t="s">
        <v>5334</v>
      </c>
    </row>
    <row r="3871" spans="1:3" x14ac:dyDescent="0.2">
      <c r="A3871" s="333">
        <v>39045031100</v>
      </c>
      <c r="B3871" t="s">
        <v>919</v>
      </c>
      <c r="C3871" s="341" t="s">
        <v>5334</v>
      </c>
    </row>
    <row r="3872" spans="1:3" x14ac:dyDescent="0.2">
      <c r="A3872" s="333">
        <v>39045031200</v>
      </c>
      <c r="B3872" t="s">
        <v>920</v>
      </c>
      <c r="C3872" s="341" t="s">
        <v>5334</v>
      </c>
    </row>
    <row r="3873" spans="1:3" x14ac:dyDescent="0.2">
      <c r="A3873" s="333">
        <v>39045031300</v>
      </c>
      <c r="B3873" t="s">
        <v>921</v>
      </c>
      <c r="C3873" s="341" t="s">
        <v>4330</v>
      </c>
    </row>
    <row r="3874" spans="1:3" x14ac:dyDescent="0.2">
      <c r="A3874" s="333">
        <v>39045031401</v>
      </c>
      <c r="B3874" t="s">
        <v>5461</v>
      </c>
      <c r="C3874" s="341" t="s">
        <v>5334</v>
      </c>
    </row>
    <row r="3875" spans="1:3" x14ac:dyDescent="0.2">
      <c r="A3875" s="333">
        <v>39045031402</v>
      </c>
      <c r="B3875" t="s">
        <v>5462</v>
      </c>
      <c r="C3875" s="341" t="s">
        <v>5334</v>
      </c>
    </row>
    <row r="3876" spans="1:3" x14ac:dyDescent="0.2">
      <c r="A3876" s="333">
        <v>39045031500</v>
      </c>
      <c r="B3876" t="s">
        <v>923</v>
      </c>
      <c r="C3876" s="341" t="s">
        <v>5334</v>
      </c>
    </row>
    <row r="3877" spans="1:3" x14ac:dyDescent="0.2">
      <c r="A3877" s="333">
        <v>39045031600</v>
      </c>
      <c r="B3877" t="s">
        <v>924</v>
      </c>
      <c r="C3877" s="341" t="s">
        <v>4330</v>
      </c>
    </row>
    <row r="3878" spans="1:3" x14ac:dyDescent="0.2">
      <c r="A3878" s="333">
        <v>39045031700</v>
      </c>
      <c r="B3878" t="s">
        <v>925</v>
      </c>
      <c r="C3878" s="341" t="s">
        <v>4330</v>
      </c>
    </row>
    <row r="3879" spans="1:3" x14ac:dyDescent="0.2">
      <c r="A3879" s="333">
        <v>39045032000</v>
      </c>
      <c r="B3879" t="s">
        <v>926</v>
      </c>
      <c r="C3879" s="341" t="s">
        <v>4330</v>
      </c>
    </row>
    <row r="3880" spans="1:3" x14ac:dyDescent="0.2">
      <c r="A3880" s="333">
        <v>39045032100</v>
      </c>
      <c r="B3880" t="s">
        <v>927</v>
      </c>
      <c r="C3880" s="341" t="s">
        <v>5334</v>
      </c>
    </row>
    <row r="3881" spans="1:3" x14ac:dyDescent="0.2">
      <c r="A3881" s="333">
        <v>39045032200</v>
      </c>
      <c r="B3881" t="s">
        <v>928</v>
      </c>
      <c r="C3881" s="341" t="s">
        <v>4330</v>
      </c>
    </row>
    <row r="3882" spans="1:3" x14ac:dyDescent="0.2">
      <c r="A3882" s="333">
        <v>39045032300</v>
      </c>
      <c r="B3882" t="s">
        <v>929</v>
      </c>
      <c r="C3882" s="341" t="s">
        <v>5334</v>
      </c>
    </row>
    <row r="3883" spans="1:3" x14ac:dyDescent="0.2">
      <c r="A3883" s="333">
        <v>39045032501</v>
      </c>
      <c r="B3883" t="s">
        <v>5463</v>
      </c>
      <c r="C3883" s="341" t="s">
        <v>5334</v>
      </c>
    </row>
    <row r="3884" spans="1:3" x14ac:dyDescent="0.2">
      <c r="A3884" s="333">
        <v>39045032502</v>
      </c>
      <c r="B3884" t="s">
        <v>5464</v>
      </c>
      <c r="C3884" s="341" t="s">
        <v>5334</v>
      </c>
    </row>
    <row r="3885" spans="1:3" x14ac:dyDescent="0.2">
      <c r="A3885" s="333">
        <v>39045032601</v>
      </c>
      <c r="B3885" t="s">
        <v>5465</v>
      </c>
      <c r="C3885" s="341" t="s">
        <v>5334</v>
      </c>
    </row>
    <row r="3886" spans="1:3" x14ac:dyDescent="0.2">
      <c r="A3886" s="333">
        <v>39045032602</v>
      </c>
      <c r="B3886" t="s">
        <v>5466</v>
      </c>
      <c r="C3886" s="341" t="s">
        <v>5334</v>
      </c>
    </row>
    <row r="3887" spans="1:3" x14ac:dyDescent="0.2">
      <c r="A3887" s="333">
        <v>39045032701</v>
      </c>
      <c r="B3887" t="s">
        <v>932</v>
      </c>
      <c r="C3887" s="341" t="s">
        <v>5334</v>
      </c>
    </row>
    <row r="3888" spans="1:3" x14ac:dyDescent="0.2">
      <c r="A3888" s="333">
        <v>39045032703</v>
      </c>
      <c r="B3888" t="s">
        <v>5467</v>
      </c>
      <c r="C3888" s="341" t="s">
        <v>5334</v>
      </c>
    </row>
    <row r="3889" spans="1:3" x14ac:dyDescent="0.2">
      <c r="A3889" s="333">
        <v>39045032704</v>
      </c>
      <c r="B3889" t="s">
        <v>5468</v>
      </c>
      <c r="C3889" s="341" t="s">
        <v>5334</v>
      </c>
    </row>
    <row r="3890" spans="1:3" x14ac:dyDescent="0.2">
      <c r="A3890" s="333">
        <v>39045032800</v>
      </c>
      <c r="B3890" t="s">
        <v>934</v>
      </c>
      <c r="C3890" s="341" t="s">
        <v>5334</v>
      </c>
    </row>
    <row r="3891" spans="1:3" x14ac:dyDescent="0.2">
      <c r="A3891" s="333">
        <v>39045032901</v>
      </c>
      <c r="B3891" t="s">
        <v>5469</v>
      </c>
      <c r="C3891" s="341" t="s">
        <v>5334</v>
      </c>
    </row>
    <row r="3892" spans="1:3" x14ac:dyDescent="0.2">
      <c r="A3892" s="333">
        <v>39045032902</v>
      </c>
      <c r="B3892" t="s">
        <v>5470</v>
      </c>
      <c r="C3892" s="341" t="s">
        <v>5334</v>
      </c>
    </row>
    <row r="3893" spans="1:3" x14ac:dyDescent="0.2">
      <c r="A3893" s="333">
        <v>39045033000</v>
      </c>
      <c r="B3893" t="s">
        <v>936</v>
      </c>
      <c r="C3893" s="341" t="s">
        <v>5334</v>
      </c>
    </row>
    <row r="3894" spans="1:3" x14ac:dyDescent="0.2">
      <c r="A3894" s="333">
        <v>39045033101</v>
      </c>
      <c r="B3894" t="s">
        <v>5471</v>
      </c>
      <c r="C3894" s="341" t="s">
        <v>5334</v>
      </c>
    </row>
    <row r="3895" spans="1:3" x14ac:dyDescent="0.2">
      <c r="A3895" s="333">
        <v>39045033102</v>
      </c>
      <c r="B3895" t="s">
        <v>5472</v>
      </c>
      <c r="C3895" s="341" t="s">
        <v>5334</v>
      </c>
    </row>
    <row r="3896" spans="1:3" x14ac:dyDescent="0.2">
      <c r="A3896" s="333">
        <v>39047925800</v>
      </c>
      <c r="B3896" t="s">
        <v>938</v>
      </c>
      <c r="C3896" s="341" t="s">
        <v>5334</v>
      </c>
    </row>
    <row r="3897" spans="1:3" x14ac:dyDescent="0.2">
      <c r="A3897" s="333">
        <v>39047925900</v>
      </c>
      <c r="B3897" t="s">
        <v>939</v>
      </c>
      <c r="C3897" s="341" t="s">
        <v>5334</v>
      </c>
    </row>
    <row r="3898" spans="1:3" x14ac:dyDescent="0.2">
      <c r="A3898" s="333">
        <v>39047926000</v>
      </c>
      <c r="B3898" t="s">
        <v>940</v>
      </c>
      <c r="C3898" s="341" t="s">
        <v>5334</v>
      </c>
    </row>
    <row r="3899" spans="1:3" x14ac:dyDescent="0.2">
      <c r="A3899" s="333">
        <v>39047926100</v>
      </c>
      <c r="B3899" t="s">
        <v>941</v>
      </c>
      <c r="C3899" s="341" t="s">
        <v>5334</v>
      </c>
    </row>
    <row r="3900" spans="1:3" x14ac:dyDescent="0.2">
      <c r="A3900" s="333">
        <v>39047926200</v>
      </c>
      <c r="B3900" t="s">
        <v>942</v>
      </c>
      <c r="C3900" s="341" t="s">
        <v>5334</v>
      </c>
    </row>
    <row r="3901" spans="1:3" x14ac:dyDescent="0.2">
      <c r="A3901" s="333">
        <v>39047926300</v>
      </c>
      <c r="B3901" t="s">
        <v>943</v>
      </c>
      <c r="C3901" s="341" t="s">
        <v>5334</v>
      </c>
    </row>
    <row r="3902" spans="1:3" x14ac:dyDescent="0.2">
      <c r="A3902" s="333">
        <v>39047926400</v>
      </c>
      <c r="B3902" t="s">
        <v>944</v>
      </c>
      <c r="C3902" s="341" t="s">
        <v>5334</v>
      </c>
    </row>
    <row r="3903" spans="1:3" x14ac:dyDescent="0.2">
      <c r="A3903" s="333">
        <v>39049000110</v>
      </c>
      <c r="B3903" t="s">
        <v>945</v>
      </c>
      <c r="C3903" s="341" t="s">
        <v>5334</v>
      </c>
    </row>
    <row r="3904" spans="1:3" x14ac:dyDescent="0.2">
      <c r="A3904" s="333">
        <v>39049000120</v>
      </c>
      <c r="B3904" t="s">
        <v>946</v>
      </c>
      <c r="C3904" s="341" t="s">
        <v>5334</v>
      </c>
    </row>
    <row r="3905" spans="1:3" x14ac:dyDescent="0.2">
      <c r="A3905" s="333">
        <v>39049000210</v>
      </c>
      <c r="B3905" t="s">
        <v>947</v>
      </c>
      <c r="C3905" s="341" t="s">
        <v>5334</v>
      </c>
    </row>
    <row r="3906" spans="1:3" x14ac:dyDescent="0.2">
      <c r="A3906" s="333">
        <v>39049000220</v>
      </c>
      <c r="B3906" t="s">
        <v>948</v>
      </c>
      <c r="C3906" s="341" t="s">
        <v>5334</v>
      </c>
    </row>
    <row r="3907" spans="1:3" x14ac:dyDescent="0.2">
      <c r="A3907" s="333">
        <v>39049000310</v>
      </c>
      <c r="B3907" t="s">
        <v>949</v>
      </c>
      <c r="C3907" s="341" t="s">
        <v>5334</v>
      </c>
    </row>
    <row r="3908" spans="1:3" x14ac:dyDescent="0.2">
      <c r="A3908" s="333">
        <v>39049000320</v>
      </c>
      <c r="B3908" t="s">
        <v>950</v>
      </c>
      <c r="C3908" s="341" t="s">
        <v>5334</v>
      </c>
    </row>
    <row r="3909" spans="1:3" x14ac:dyDescent="0.2">
      <c r="A3909" s="333">
        <v>39049000330</v>
      </c>
      <c r="B3909" t="s">
        <v>951</v>
      </c>
      <c r="C3909" s="341" t="s">
        <v>4330</v>
      </c>
    </row>
    <row r="3910" spans="1:3" x14ac:dyDescent="0.2">
      <c r="A3910" s="333">
        <v>39049000410</v>
      </c>
      <c r="B3910" t="s">
        <v>952</v>
      </c>
      <c r="C3910" s="341" t="s">
        <v>5334</v>
      </c>
    </row>
    <row r="3911" spans="1:3" x14ac:dyDescent="0.2">
      <c r="A3911" s="333">
        <v>39049000420</v>
      </c>
      <c r="B3911" t="s">
        <v>953</v>
      </c>
      <c r="C3911" s="341" t="s">
        <v>5334</v>
      </c>
    </row>
    <row r="3912" spans="1:3" x14ac:dyDescent="0.2">
      <c r="A3912" s="333">
        <v>39049000500</v>
      </c>
      <c r="B3912" t="s">
        <v>954</v>
      </c>
      <c r="C3912" s="341" t="s">
        <v>5334</v>
      </c>
    </row>
    <row r="3913" spans="1:3" x14ac:dyDescent="0.2">
      <c r="A3913" s="333">
        <v>39049000600</v>
      </c>
      <c r="B3913" t="s">
        <v>955</v>
      </c>
      <c r="C3913" s="341" t="s">
        <v>5334</v>
      </c>
    </row>
    <row r="3914" spans="1:3" x14ac:dyDescent="0.2">
      <c r="A3914" s="333">
        <v>39049000710</v>
      </c>
      <c r="B3914" t="s">
        <v>956</v>
      </c>
      <c r="C3914" s="341" t="s">
        <v>4330</v>
      </c>
    </row>
    <row r="3915" spans="1:3" x14ac:dyDescent="0.2">
      <c r="A3915" s="333">
        <v>39049000720</v>
      </c>
      <c r="B3915" t="s">
        <v>957</v>
      </c>
      <c r="C3915" s="341" t="s">
        <v>4330</v>
      </c>
    </row>
    <row r="3916" spans="1:3" x14ac:dyDescent="0.2">
      <c r="A3916" s="333">
        <v>39049000730</v>
      </c>
      <c r="B3916" t="s">
        <v>958</v>
      </c>
      <c r="C3916" s="341" t="s">
        <v>4330</v>
      </c>
    </row>
    <row r="3917" spans="1:3" x14ac:dyDescent="0.2">
      <c r="A3917" s="333">
        <v>39049000810</v>
      </c>
      <c r="B3917" t="s">
        <v>959</v>
      </c>
      <c r="C3917" s="341" t="s">
        <v>4330</v>
      </c>
    </row>
    <row r="3918" spans="1:3" x14ac:dyDescent="0.2">
      <c r="A3918" s="333">
        <v>39049000820</v>
      </c>
      <c r="B3918" t="s">
        <v>960</v>
      </c>
      <c r="C3918" s="341" t="s">
        <v>4330</v>
      </c>
    </row>
    <row r="3919" spans="1:3" x14ac:dyDescent="0.2">
      <c r="A3919" s="333">
        <v>39049000910</v>
      </c>
      <c r="B3919" t="s">
        <v>961</v>
      </c>
      <c r="C3919" s="341" t="s">
        <v>4330</v>
      </c>
    </row>
    <row r="3920" spans="1:3" x14ac:dyDescent="0.2">
      <c r="A3920" s="333">
        <v>39049000920</v>
      </c>
      <c r="B3920" t="s">
        <v>962</v>
      </c>
      <c r="C3920" s="341" t="s">
        <v>4330</v>
      </c>
    </row>
    <row r="3921" spans="1:3" x14ac:dyDescent="0.2">
      <c r="A3921" s="333">
        <v>39049001000</v>
      </c>
      <c r="B3921" t="s">
        <v>963</v>
      </c>
      <c r="C3921" s="341" t="s">
        <v>4330</v>
      </c>
    </row>
    <row r="3922" spans="1:3" x14ac:dyDescent="0.2">
      <c r="A3922" s="333">
        <v>39049001110</v>
      </c>
      <c r="B3922" t="s">
        <v>964</v>
      </c>
      <c r="C3922" s="341" t="s">
        <v>4330</v>
      </c>
    </row>
    <row r="3923" spans="1:3" x14ac:dyDescent="0.2">
      <c r="A3923" s="333">
        <v>39049001121</v>
      </c>
      <c r="B3923" t="s">
        <v>965</v>
      </c>
      <c r="C3923" s="341" t="s">
        <v>5334</v>
      </c>
    </row>
    <row r="3924" spans="1:3" x14ac:dyDescent="0.2">
      <c r="A3924" s="333">
        <v>39049001122</v>
      </c>
      <c r="B3924" t="s">
        <v>966</v>
      </c>
      <c r="C3924" s="341" t="s">
        <v>4330</v>
      </c>
    </row>
    <row r="3925" spans="1:3" x14ac:dyDescent="0.2">
      <c r="A3925" s="333">
        <v>39049001200</v>
      </c>
      <c r="B3925" t="s">
        <v>967</v>
      </c>
      <c r="C3925" s="341" t="s">
        <v>4330</v>
      </c>
    </row>
    <row r="3926" spans="1:3" x14ac:dyDescent="0.2">
      <c r="A3926" s="333">
        <v>39049001301</v>
      </c>
      <c r="B3926" t="s">
        <v>5473</v>
      </c>
      <c r="C3926" s="341" t="s">
        <v>4330</v>
      </c>
    </row>
    <row r="3927" spans="1:3" x14ac:dyDescent="0.2">
      <c r="A3927" s="333">
        <v>39049001302</v>
      </c>
      <c r="B3927" t="s">
        <v>5474</v>
      </c>
      <c r="C3927" s="341" t="s">
        <v>4330</v>
      </c>
    </row>
    <row r="3928" spans="1:3" x14ac:dyDescent="0.2">
      <c r="A3928" s="333">
        <v>39049001400</v>
      </c>
      <c r="B3928" t="s">
        <v>969</v>
      </c>
      <c r="C3928" s="341" t="s">
        <v>4330</v>
      </c>
    </row>
    <row r="3929" spans="1:3" x14ac:dyDescent="0.2">
      <c r="A3929" s="333">
        <v>39049001500</v>
      </c>
      <c r="B3929" t="s">
        <v>970</v>
      </c>
      <c r="C3929" s="341" t="s">
        <v>4330</v>
      </c>
    </row>
    <row r="3930" spans="1:3" x14ac:dyDescent="0.2">
      <c r="A3930" s="333">
        <v>39049001600</v>
      </c>
      <c r="B3930" t="s">
        <v>971</v>
      </c>
      <c r="C3930" s="341" t="s">
        <v>4330</v>
      </c>
    </row>
    <row r="3931" spans="1:3" x14ac:dyDescent="0.2">
      <c r="A3931" s="333">
        <v>39049001700</v>
      </c>
      <c r="B3931" t="s">
        <v>972</v>
      </c>
      <c r="C3931" s="341" t="s">
        <v>4330</v>
      </c>
    </row>
    <row r="3932" spans="1:3" x14ac:dyDescent="0.2">
      <c r="A3932" s="333">
        <v>39049001810</v>
      </c>
      <c r="B3932" t="s">
        <v>973</v>
      </c>
      <c r="C3932" s="341" t="s">
        <v>4330</v>
      </c>
    </row>
    <row r="3933" spans="1:3" x14ac:dyDescent="0.2">
      <c r="A3933" s="333">
        <v>39049001820</v>
      </c>
      <c r="B3933" t="s">
        <v>974</v>
      </c>
      <c r="C3933" s="341" t="s">
        <v>5334</v>
      </c>
    </row>
    <row r="3934" spans="1:3" x14ac:dyDescent="0.2">
      <c r="A3934" s="333">
        <v>39049001901</v>
      </c>
      <c r="B3934" t="s">
        <v>975</v>
      </c>
      <c r="C3934" s="341" t="s">
        <v>5334</v>
      </c>
    </row>
    <row r="3935" spans="1:3" x14ac:dyDescent="0.2">
      <c r="A3935" s="333">
        <v>39049001902</v>
      </c>
      <c r="B3935" t="s">
        <v>976</v>
      </c>
      <c r="C3935" s="341" t="s">
        <v>5334</v>
      </c>
    </row>
    <row r="3936" spans="1:3" x14ac:dyDescent="0.2">
      <c r="A3936" s="333">
        <v>39049002000</v>
      </c>
      <c r="B3936" t="s">
        <v>977</v>
      </c>
      <c r="C3936" s="341" t="s">
        <v>5334</v>
      </c>
    </row>
    <row r="3937" spans="1:3" x14ac:dyDescent="0.2">
      <c r="A3937" s="333">
        <v>39049002100</v>
      </c>
      <c r="B3937" t="s">
        <v>978</v>
      </c>
      <c r="C3937" s="341" t="s">
        <v>5334</v>
      </c>
    </row>
    <row r="3938" spans="1:3" x14ac:dyDescent="0.2">
      <c r="A3938" s="333">
        <v>39049002200</v>
      </c>
      <c r="B3938" t="s">
        <v>979</v>
      </c>
      <c r="C3938" s="341" t="s">
        <v>5334</v>
      </c>
    </row>
    <row r="3939" spans="1:3" x14ac:dyDescent="0.2">
      <c r="A3939" s="333">
        <v>39049002300</v>
      </c>
      <c r="B3939" t="s">
        <v>980</v>
      </c>
      <c r="C3939" s="341" t="s">
        <v>4330</v>
      </c>
    </row>
    <row r="3940" spans="1:3" x14ac:dyDescent="0.2">
      <c r="A3940" s="333">
        <v>39049002510</v>
      </c>
      <c r="B3940" t="s">
        <v>981</v>
      </c>
      <c r="C3940" s="341" t="s">
        <v>4330</v>
      </c>
    </row>
    <row r="3941" spans="1:3" x14ac:dyDescent="0.2">
      <c r="A3941" s="333">
        <v>39049002520</v>
      </c>
      <c r="B3941" t="s">
        <v>982</v>
      </c>
      <c r="C3941" s="341" t="s">
        <v>4330</v>
      </c>
    </row>
    <row r="3942" spans="1:3" x14ac:dyDescent="0.2">
      <c r="A3942" s="333">
        <v>39049002600</v>
      </c>
      <c r="B3942" t="s">
        <v>983</v>
      </c>
      <c r="C3942" s="341" t="s">
        <v>4330</v>
      </c>
    </row>
    <row r="3943" spans="1:3" x14ac:dyDescent="0.2">
      <c r="A3943" s="333">
        <v>39049002710</v>
      </c>
      <c r="B3943" t="s">
        <v>984</v>
      </c>
      <c r="C3943" s="341" t="s">
        <v>4330</v>
      </c>
    </row>
    <row r="3944" spans="1:3" x14ac:dyDescent="0.2">
      <c r="A3944" s="333">
        <v>39049002730</v>
      </c>
      <c r="B3944" t="s">
        <v>985</v>
      </c>
      <c r="C3944" s="341" t="s">
        <v>4330</v>
      </c>
    </row>
    <row r="3945" spans="1:3" x14ac:dyDescent="0.2">
      <c r="A3945" s="333">
        <v>39049002740</v>
      </c>
      <c r="B3945" t="s">
        <v>986</v>
      </c>
      <c r="C3945" s="341" t="s">
        <v>5334</v>
      </c>
    </row>
    <row r="3946" spans="1:3" x14ac:dyDescent="0.2">
      <c r="A3946" s="333">
        <v>39049002750</v>
      </c>
      <c r="B3946" t="s">
        <v>987</v>
      </c>
      <c r="C3946" s="341" t="s">
        <v>4330</v>
      </c>
    </row>
    <row r="3947" spans="1:3" x14ac:dyDescent="0.2">
      <c r="A3947" s="333">
        <v>39049002760</v>
      </c>
      <c r="B3947" t="s">
        <v>988</v>
      </c>
      <c r="C3947" s="341" t="s">
        <v>5334</v>
      </c>
    </row>
    <row r="3948" spans="1:3" x14ac:dyDescent="0.2">
      <c r="A3948" s="333">
        <v>39049002770</v>
      </c>
      <c r="B3948" t="s">
        <v>989</v>
      </c>
      <c r="C3948" s="341" t="s">
        <v>4330</v>
      </c>
    </row>
    <row r="3949" spans="1:3" x14ac:dyDescent="0.2">
      <c r="A3949" s="333">
        <v>39049002780</v>
      </c>
      <c r="B3949" t="s">
        <v>990</v>
      </c>
      <c r="C3949" s="341" t="s">
        <v>5334</v>
      </c>
    </row>
    <row r="3950" spans="1:3" x14ac:dyDescent="0.2">
      <c r="A3950" s="333">
        <v>39049002800</v>
      </c>
      <c r="B3950" t="s">
        <v>991</v>
      </c>
      <c r="C3950" s="341" t="s">
        <v>4330</v>
      </c>
    </row>
    <row r="3951" spans="1:3" x14ac:dyDescent="0.2">
      <c r="A3951" s="333">
        <v>39049002900</v>
      </c>
      <c r="B3951" t="s">
        <v>992</v>
      </c>
      <c r="C3951" s="341" t="s">
        <v>4330</v>
      </c>
    </row>
    <row r="3952" spans="1:3" x14ac:dyDescent="0.2">
      <c r="A3952" s="333">
        <v>39049003000</v>
      </c>
      <c r="B3952" t="s">
        <v>993</v>
      </c>
      <c r="C3952" s="341" t="s">
        <v>5334</v>
      </c>
    </row>
    <row r="3953" spans="1:3" x14ac:dyDescent="0.2">
      <c r="A3953" s="333">
        <v>39049003200</v>
      </c>
      <c r="B3953" t="s">
        <v>994</v>
      </c>
      <c r="C3953" s="341" t="s">
        <v>5334</v>
      </c>
    </row>
    <row r="3954" spans="1:3" x14ac:dyDescent="0.2">
      <c r="A3954" s="333">
        <v>39049003600</v>
      </c>
      <c r="B3954" t="s">
        <v>995</v>
      </c>
      <c r="C3954" s="341" t="s">
        <v>5334</v>
      </c>
    </row>
    <row r="3955" spans="1:3" x14ac:dyDescent="0.2">
      <c r="A3955" s="333">
        <v>39049003700</v>
      </c>
      <c r="B3955" t="s">
        <v>996</v>
      </c>
      <c r="C3955" s="341" t="s">
        <v>4330</v>
      </c>
    </row>
    <row r="3956" spans="1:3" x14ac:dyDescent="0.2">
      <c r="A3956" s="333">
        <v>39049003800</v>
      </c>
      <c r="B3956" t="s">
        <v>997</v>
      </c>
      <c r="C3956" s="341" t="s">
        <v>4330</v>
      </c>
    </row>
    <row r="3957" spans="1:3" x14ac:dyDescent="0.2">
      <c r="A3957" s="333">
        <v>39049004001</v>
      </c>
      <c r="B3957" t="s">
        <v>5475</v>
      </c>
      <c r="C3957" s="341" t="s">
        <v>4330</v>
      </c>
    </row>
    <row r="3958" spans="1:3" x14ac:dyDescent="0.2">
      <c r="A3958" s="333">
        <v>39049004002</v>
      </c>
      <c r="B3958" t="s">
        <v>5476</v>
      </c>
      <c r="C3958" s="341" t="s">
        <v>4330</v>
      </c>
    </row>
    <row r="3959" spans="1:3" x14ac:dyDescent="0.2">
      <c r="A3959" s="333">
        <v>39049004200</v>
      </c>
      <c r="B3959" t="s">
        <v>999</v>
      </c>
      <c r="C3959" s="341" t="s">
        <v>4330</v>
      </c>
    </row>
    <row r="3960" spans="1:3" x14ac:dyDescent="0.2">
      <c r="A3960" s="333">
        <v>39049004301</v>
      </c>
      <c r="B3960" t="s">
        <v>5477</v>
      </c>
      <c r="C3960" s="341" t="s">
        <v>5334</v>
      </c>
    </row>
    <row r="3961" spans="1:3" x14ac:dyDescent="0.2">
      <c r="A3961" s="333">
        <v>39049004302</v>
      </c>
      <c r="B3961" t="s">
        <v>5478</v>
      </c>
      <c r="C3961" s="341" t="s">
        <v>5334</v>
      </c>
    </row>
    <row r="3962" spans="1:3" x14ac:dyDescent="0.2">
      <c r="A3962" s="333">
        <v>39049004500</v>
      </c>
      <c r="B3962" t="s">
        <v>1001</v>
      </c>
      <c r="C3962" s="341" t="s">
        <v>4330</v>
      </c>
    </row>
    <row r="3963" spans="1:3" x14ac:dyDescent="0.2">
      <c r="A3963" s="333">
        <v>39049004610</v>
      </c>
      <c r="B3963" t="s">
        <v>1002</v>
      </c>
      <c r="C3963" s="341" t="s">
        <v>5334</v>
      </c>
    </row>
    <row r="3964" spans="1:3" x14ac:dyDescent="0.2">
      <c r="A3964" s="333">
        <v>39049004620</v>
      </c>
      <c r="B3964" t="s">
        <v>1003</v>
      </c>
      <c r="C3964" s="341" t="s">
        <v>4330</v>
      </c>
    </row>
    <row r="3965" spans="1:3" x14ac:dyDescent="0.2">
      <c r="A3965" s="333">
        <v>39049004700</v>
      </c>
      <c r="B3965" t="s">
        <v>1004</v>
      </c>
      <c r="C3965" s="341" t="s">
        <v>4330</v>
      </c>
    </row>
    <row r="3966" spans="1:3" x14ac:dyDescent="0.2">
      <c r="A3966" s="333">
        <v>39049004810</v>
      </c>
      <c r="B3966" t="s">
        <v>1005</v>
      </c>
      <c r="C3966" s="341" t="s">
        <v>5334</v>
      </c>
    </row>
    <row r="3967" spans="1:3" x14ac:dyDescent="0.2">
      <c r="A3967" s="333">
        <v>39049004820</v>
      </c>
      <c r="B3967" t="s">
        <v>1006</v>
      </c>
      <c r="C3967" s="341" t="s">
        <v>4330</v>
      </c>
    </row>
    <row r="3968" spans="1:3" x14ac:dyDescent="0.2">
      <c r="A3968" s="333">
        <v>39049004900</v>
      </c>
      <c r="B3968" t="s">
        <v>1007</v>
      </c>
      <c r="C3968" s="341" t="s">
        <v>4330</v>
      </c>
    </row>
    <row r="3969" spans="1:3" x14ac:dyDescent="0.2">
      <c r="A3969" s="333">
        <v>39049005001</v>
      </c>
      <c r="B3969" t="s">
        <v>5479</v>
      </c>
      <c r="C3969" s="341" t="s">
        <v>4330</v>
      </c>
    </row>
    <row r="3970" spans="1:3" x14ac:dyDescent="0.2">
      <c r="A3970" s="333">
        <v>39049005002</v>
      </c>
      <c r="B3970" t="s">
        <v>5480</v>
      </c>
      <c r="C3970" s="341" t="s">
        <v>4330</v>
      </c>
    </row>
    <row r="3971" spans="1:3" x14ac:dyDescent="0.2">
      <c r="A3971" s="333">
        <v>39049005100</v>
      </c>
      <c r="B3971" t="s">
        <v>1009</v>
      </c>
      <c r="C3971" s="341" t="s">
        <v>4330</v>
      </c>
    </row>
    <row r="3972" spans="1:3" x14ac:dyDescent="0.2">
      <c r="A3972" s="333">
        <v>39049005200</v>
      </c>
      <c r="B3972" t="s">
        <v>1010</v>
      </c>
      <c r="C3972" s="341" t="s">
        <v>5334</v>
      </c>
    </row>
    <row r="3973" spans="1:3" x14ac:dyDescent="0.2">
      <c r="A3973" s="333">
        <v>39049005300</v>
      </c>
      <c r="B3973" t="s">
        <v>1011</v>
      </c>
      <c r="C3973" s="341" t="s">
        <v>4330</v>
      </c>
    </row>
    <row r="3974" spans="1:3" x14ac:dyDescent="0.2">
      <c r="A3974" s="333">
        <v>39049005410</v>
      </c>
      <c r="B3974" t="s">
        <v>1012</v>
      </c>
      <c r="C3974" s="341" t="s">
        <v>4330</v>
      </c>
    </row>
    <row r="3975" spans="1:3" x14ac:dyDescent="0.2">
      <c r="A3975" s="333">
        <v>39049005420</v>
      </c>
      <c r="B3975" t="s">
        <v>1013</v>
      </c>
      <c r="C3975" s="341" t="s">
        <v>4330</v>
      </c>
    </row>
    <row r="3976" spans="1:3" x14ac:dyDescent="0.2">
      <c r="A3976" s="333">
        <v>39049005500</v>
      </c>
      <c r="B3976" t="s">
        <v>1014</v>
      </c>
      <c r="C3976" s="341" t="s">
        <v>4330</v>
      </c>
    </row>
    <row r="3977" spans="1:3" x14ac:dyDescent="0.2">
      <c r="A3977" s="333">
        <v>39049005610</v>
      </c>
      <c r="B3977" t="s">
        <v>1015</v>
      </c>
      <c r="C3977" s="341" t="s">
        <v>4330</v>
      </c>
    </row>
    <row r="3978" spans="1:3" x14ac:dyDescent="0.2">
      <c r="A3978" s="333">
        <v>39049005620</v>
      </c>
      <c r="B3978" t="s">
        <v>1016</v>
      </c>
      <c r="C3978" s="341" t="s">
        <v>4330</v>
      </c>
    </row>
    <row r="3979" spans="1:3" x14ac:dyDescent="0.2">
      <c r="A3979" s="333">
        <v>39049005700</v>
      </c>
      <c r="B3979" t="s">
        <v>1017</v>
      </c>
      <c r="C3979" s="341" t="s">
        <v>5334</v>
      </c>
    </row>
    <row r="3980" spans="1:3" x14ac:dyDescent="0.2">
      <c r="A3980" s="333">
        <v>39049005810</v>
      </c>
      <c r="B3980" t="s">
        <v>1018</v>
      </c>
      <c r="C3980" s="341" t="s">
        <v>5334</v>
      </c>
    </row>
    <row r="3981" spans="1:3" x14ac:dyDescent="0.2">
      <c r="A3981" s="333">
        <v>39049005820</v>
      </c>
      <c r="B3981" t="s">
        <v>1019</v>
      </c>
      <c r="C3981" s="341" t="s">
        <v>5334</v>
      </c>
    </row>
    <row r="3982" spans="1:3" x14ac:dyDescent="0.2">
      <c r="A3982" s="333">
        <v>39049005900</v>
      </c>
      <c r="B3982" t="s">
        <v>1020</v>
      </c>
      <c r="C3982" s="341" t="s">
        <v>4330</v>
      </c>
    </row>
    <row r="3983" spans="1:3" x14ac:dyDescent="0.2">
      <c r="A3983" s="333">
        <v>39049006000</v>
      </c>
      <c r="B3983" t="s">
        <v>1021</v>
      </c>
      <c r="C3983" s="341" t="s">
        <v>4330</v>
      </c>
    </row>
    <row r="3984" spans="1:3" x14ac:dyDescent="0.2">
      <c r="A3984" s="333">
        <v>39049006100</v>
      </c>
      <c r="B3984" t="s">
        <v>1022</v>
      </c>
      <c r="C3984" s="341" t="s">
        <v>4330</v>
      </c>
    </row>
    <row r="3985" spans="1:3" x14ac:dyDescent="0.2">
      <c r="A3985" s="333">
        <v>39049006236</v>
      </c>
      <c r="B3985" t="s">
        <v>1025</v>
      </c>
      <c r="C3985" s="341" t="s">
        <v>5334</v>
      </c>
    </row>
    <row r="3986" spans="1:3" x14ac:dyDescent="0.2">
      <c r="A3986" s="333">
        <v>39049006237</v>
      </c>
      <c r="B3986" t="s">
        <v>5481</v>
      </c>
      <c r="C3986" s="341" t="s">
        <v>5334</v>
      </c>
    </row>
    <row r="3987" spans="1:3" x14ac:dyDescent="0.2">
      <c r="A3987" s="333">
        <v>39049006238</v>
      </c>
      <c r="B3987" t="s">
        <v>5482</v>
      </c>
      <c r="C3987" s="341" t="s">
        <v>5334</v>
      </c>
    </row>
    <row r="3988" spans="1:3" x14ac:dyDescent="0.2">
      <c r="A3988" s="333">
        <v>39049006239</v>
      </c>
      <c r="B3988" t="s">
        <v>5483</v>
      </c>
      <c r="C3988" s="341" t="s">
        <v>5334</v>
      </c>
    </row>
    <row r="3989" spans="1:3" x14ac:dyDescent="0.2">
      <c r="A3989" s="333">
        <v>39049006240</v>
      </c>
      <c r="B3989" t="s">
        <v>5484</v>
      </c>
      <c r="C3989" s="341" t="s">
        <v>5334</v>
      </c>
    </row>
    <row r="3990" spans="1:3" x14ac:dyDescent="0.2">
      <c r="A3990" s="333">
        <v>39049006241</v>
      </c>
      <c r="B3990" t="s">
        <v>5485</v>
      </c>
      <c r="C3990" s="341" t="s">
        <v>5334</v>
      </c>
    </row>
    <row r="3991" spans="1:3" x14ac:dyDescent="0.2">
      <c r="A3991" s="333">
        <v>39049006301</v>
      </c>
      <c r="B3991" t="s">
        <v>5486</v>
      </c>
      <c r="C3991" s="341" t="s">
        <v>5334</v>
      </c>
    </row>
    <row r="3992" spans="1:3" x14ac:dyDescent="0.2">
      <c r="A3992" s="333">
        <v>39049006302</v>
      </c>
      <c r="B3992" t="s">
        <v>5487</v>
      </c>
      <c r="C3992" s="341" t="s">
        <v>5334</v>
      </c>
    </row>
    <row r="3993" spans="1:3" x14ac:dyDescent="0.2">
      <c r="A3993" s="333">
        <v>39049006310</v>
      </c>
      <c r="B3993" t="s">
        <v>1026</v>
      </c>
      <c r="C3993" s="341" t="s">
        <v>5334</v>
      </c>
    </row>
    <row r="3994" spans="1:3" x14ac:dyDescent="0.2">
      <c r="A3994" s="333">
        <v>39049006321</v>
      </c>
      <c r="B3994" t="s">
        <v>1027</v>
      </c>
      <c r="C3994" s="341" t="s">
        <v>5334</v>
      </c>
    </row>
    <row r="3995" spans="1:3" x14ac:dyDescent="0.2">
      <c r="A3995" s="333">
        <v>39049006323</v>
      </c>
      <c r="B3995" t="s">
        <v>1028</v>
      </c>
      <c r="C3995" s="341" t="s">
        <v>5334</v>
      </c>
    </row>
    <row r="3996" spans="1:3" x14ac:dyDescent="0.2">
      <c r="A3996" s="333">
        <v>39049006330</v>
      </c>
      <c r="B3996" t="s">
        <v>1029</v>
      </c>
      <c r="C3996" s="341" t="s">
        <v>5334</v>
      </c>
    </row>
    <row r="3997" spans="1:3" x14ac:dyDescent="0.2">
      <c r="A3997" s="333">
        <v>39049006340</v>
      </c>
      <c r="B3997" t="s">
        <v>1030</v>
      </c>
      <c r="C3997" s="341" t="s">
        <v>5334</v>
      </c>
    </row>
    <row r="3998" spans="1:3" x14ac:dyDescent="0.2">
      <c r="A3998" s="333">
        <v>39049006351</v>
      </c>
      <c r="B3998" t="s">
        <v>1031</v>
      </c>
      <c r="C3998" s="341" t="s">
        <v>5334</v>
      </c>
    </row>
    <row r="3999" spans="1:3" x14ac:dyDescent="0.2">
      <c r="A3999" s="333">
        <v>39049006352</v>
      </c>
      <c r="B3999" t="s">
        <v>1032</v>
      </c>
      <c r="C3999" s="341" t="s">
        <v>5334</v>
      </c>
    </row>
    <row r="4000" spans="1:3" x14ac:dyDescent="0.2">
      <c r="A4000" s="333">
        <v>39049006353</v>
      </c>
      <c r="B4000" t="s">
        <v>1033</v>
      </c>
      <c r="C4000" s="341" t="s">
        <v>5334</v>
      </c>
    </row>
    <row r="4001" spans="1:3" x14ac:dyDescent="0.2">
      <c r="A4001" s="333">
        <v>39049006372</v>
      </c>
      <c r="B4001" t="s">
        <v>1035</v>
      </c>
      <c r="C4001" s="341" t="s">
        <v>5334</v>
      </c>
    </row>
    <row r="4002" spans="1:3" x14ac:dyDescent="0.2">
      <c r="A4002" s="333">
        <v>39049006384</v>
      </c>
      <c r="B4002" t="s">
        <v>1037</v>
      </c>
      <c r="C4002" s="341" t="s">
        <v>5334</v>
      </c>
    </row>
    <row r="4003" spans="1:3" x14ac:dyDescent="0.2">
      <c r="A4003" s="333">
        <v>39049006386</v>
      </c>
      <c r="B4003" t="s">
        <v>1038</v>
      </c>
      <c r="C4003" s="341" t="s">
        <v>5334</v>
      </c>
    </row>
    <row r="4004" spans="1:3" x14ac:dyDescent="0.2">
      <c r="A4004" s="333">
        <v>39049006387</v>
      </c>
      <c r="B4004" t="s">
        <v>1039</v>
      </c>
      <c r="C4004" s="341" t="s">
        <v>5334</v>
      </c>
    </row>
    <row r="4005" spans="1:3" x14ac:dyDescent="0.2">
      <c r="A4005" s="333">
        <v>39049006391</v>
      </c>
      <c r="B4005" t="s">
        <v>1040</v>
      </c>
      <c r="C4005" s="341" t="s">
        <v>5334</v>
      </c>
    </row>
    <row r="4006" spans="1:3" x14ac:dyDescent="0.2">
      <c r="A4006" s="333">
        <v>39049006392</v>
      </c>
      <c r="B4006" t="s">
        <v>1041</v>
      </c>
      <c r="C4006" s="341" t="s">
        <v>5334</v>
      </c>
    </row>
    <row r="4007" spans="1:3" x14ac:dyDescent="0.2">
      <c r="A4007" s="333">
        <v>39049006393</v>
      </c>
      <c r="B4007" t="s">
        <v>1042</v>
      </c>
      <c r="C4007" s="341" t="s">
        <v>5334</v>
      </c>
    </row>
    <row r="4008" spans="1:3" x14ac:dyDescent="0.2">
      <c r="A4008" s="333">
        <v>39049006394</v>
      </c>
      <c r="B4008" t="s">
        <v>1043</v>
      </c>
      <c r="C4008" s="341" t="s">
        <v>5334</v>
      </c>
    </row>
    <row r="4009" spans="1:3" x14ac:dyDescent="0.2">
      <c r="A4009" s="333">
        <v>39049006395</v>
      </c>
      <c r="B4009" t="s">
        <v>1044</v>
      </c>
      <c r="C4009" s="341" t="s">
        <v>5334</v>
      </c>
    </row>
    <row r="4010" spans="1:3" x14ac:dyDescent="0.2">
      <c r="A4010" s="333">
        <v>39049006396</v>
      </c>
      <c r="B4010" t="s">
        <v>1045</v>
      </c>
      <c r="C4010" s="341" t="s">
        <v>5334</v>
      </c>
    </row>
    <row r="4011" spans="1:3" x14ac:dyDescent="0.2">
      <c r="A4011" s="333">
        <v>39049006397</v>
      </c>
      <c r="B4011" t="s">
        <v>5488</v>
      </c>
      <c r="C4011" s="341" t="s">
        <v>5334</v>
      </c>
    </row>
    <row r="4012" spans="1:3" x14ac:dyDescent="0.2">
      <c r="A4012" s="333">
        <v>39049006398</v>
      </c>
      <c r="B4012" t="s">
        <v>5489</v>
      </c>
      <c r="C4012" s="341" t="s">
        <v>5334</v>
      </c>
    </row>
    <row r="4013" spans="1:3" x14ac:dyDescent="0.2">
      <c r="A4013" s="333">
        <v>39049006410</v>
      </c>
      <c r="B4013" t="s">
        <v>1046</v>
      </c>
      <c r="C4013" s="341" t="s">
        <v>5334</v>
      </c>
    </row>
    <row r="4014" spans="1:3" x14ac:dyDescent="0.2">
      <c r="A4014" s="333">
        <v>39049006430</v>
      </c>
      <c r="B4014" t="s">
        <v>1047</v>
      </c>
      <c r="C4014" s="341" t="s">
        <v>5334</v>
      </c>
    </row>
    <row r="4015" spans="1:3" x14ac:dyDescent="0.2">
      <c r="A4015" s="333">
        <v>39049006500</v>
      </c>
      <c r="B4015" t="s">
        <v>1048</v>
      </c>
      <c r="C4015" s="341" t="s">
        <v>5334</v>
      </c>
    </row>
    <row r="4016" spans="1:3" x14ac:dyDescent="0.2">
      <c r="A4016" s="333">
        <v>39049006600</v>
      </c>
      <c r="B4016" t="s">
        <v>1049</v>
      </c>
      <c r="C4016" s="341" t="s">
        <v>5334</v>
      </c>
    </row>
    <row r="4017" spans="1:3" x14ac:dyDescent="0.2">
      <c r="A4017" s="333">
        <v>39049006710</v>
      </c>
      <c r="B4017" t="s">
        <v>1050</v>
      </c>
      <c r="C4017" s="341" t="s">
        <v>5334</v>
      </c>
    </row>
    <row r="4018" spans="1:3" x14ac:dyDescent="0.2">
      <c r="A4018" s="333">
        <v>39049006721</v>
      </c>
      <c r="B4018" t="s">
        <v>1051</v>
      </c>
      <c r="C4018" s="341" t="s">
        <v>5334</v>
      </c>
    </row>
    <row r="4019" spans="1:3" x14ac:dyDescent="0.2">
      <c r="A4019" s="333">
        <v>39049006722</v>
      </c>
      <c r="B4019" t="s">
        <v>1052</v>
      </c>
      <c r="C4019" s="341" t="s">
        <v>5334</v>
      </c>
    </row>
    <row r="4020" spans="1:3" x14ac:dyDescent="0.2">
      <c r="A4020" s="333">
        <v>39049006810</v>
      </c>
      <c r="B4020" t="s">
        <v>1053</v>
      </c>
      <c r="C4020" s="341" t="s">
        <v>5334</v>
      </c>
    </row>
    <row r="4021" spans="1:3" x14ac:dyDescent="0.2">
      <c r="A4021" s="333">
        <v>39049006821</v>
      </c>
      <c r="B4021" t="s">
        <v>1054</v>
      </c>
      <c r="C4021" s="341" t="s">
        <v>5334</v>
      </c>
    </row>
    <row r="4022" spans="1:3" x14ac:dyDescent="0.2">
      <c r="A4022" s="333">
        <v>39049006822</v>
      </c>
      <c r="B4022" t="s">
        <v>1055</v>
      </c>
      <c r="C4022" s="341" t="s">
        <v>5334</v>
      </c>
    </row>
    <row r="4023" spans="1:3" x14ac:dyDescent="0.2">
      <c r="A4023" s="333">
        <v>39049006910</v>
      </c>
      <c r="B4023" t="s">
        <v>1056</v>
      </c>
      <c r="C4023" s="341" t="s">
        <v>5334</v>
      </c>
    </row>
    <row r="4024" spans="1:3" x14ac:dyDescent="0.2">
      <c r="A4024" s="333">
        <v>39049006921</v>
      </c>
      <c r="B4024" t="s">
        <v>1057</v>
      </c>
      <c r="C4024" s="341" t="s">
        <v>5334</v>
      </c>
    </row>
    <row r="4025" spans="1:3" x14ac:dyDescent="0.2">
      <c r="A4025" s="333">
        <v>39049006923</v>
      </c>
      <c r="B4025" t="s">
        <v>1058</v>
      </c>
      <c r="C4025" s="341" t="s">
        <v>5334</v>
      </c>
    </row>
    <row r="4026" spans="1:3" x14ac:dyDescent="0.2">
      <c r="A4026" s="333">
        <v>39049006924</v>
      </c>
      <c r="B4026" t="s">
        <v>1059</v>
      </c>
      <c r="C4026" s="341" t="s">
        <v>5334</v>
      </c>
    </row>
    <row r="4027" spans="1:3" x14ac:dyDescent="0.2">
      <c r="A4027" s="333">
        <v>39049006931</v>
      </c>
      <c r="B4027" t="s">
        <v>1060</v>
      </c>
      <c r="C4027" s="341" t="s">
        <v>4330</v>
      </c>
    </row>
    <row r="4028" spans="1:3" x14ac:dyDescent="0.2">
      <c r="A4028" s="333">
        <v>39049006932</v>
      </c>
      <c r="B4028" t="s">
        <v>1061</v>
      </c>
      <c r="C4028" s="341" t="s">
        <v>5334</v>
      </c>
    </row>
    <row r="4029" spans="1:3" x14ac:dyDescent="0.2">
      <c r="A4029" s="333">
        <v>39049006933</v>
      </c>
      <c r="B4029" t="s">
        <v>1062</v>
      </c>
      <c r="C4029" s="341" t="s">
        <v>4330</v>
      </c>
    </row>
    <row r="4030" spans="1:3" x14ac:dyDescent="0.2">
      <c r="A4030" s="333">
        <v>39049006943</v>
      </c>
      <c r="B4030" t="s">
        <v>1064</v>
      </c>
      <c r="C4030" s="341" t="s">
        <v>5334</v>
      </c>
    </row>
    <row r="4031" spans="1:3" x14ac:dyDescent="0.2">
      <c r="A4031" s="333">
        <v>39049006944</v>
      </c>
      <c r="B4031" t="s">
        <v>1065</v>
      </c>
      <c r="C4031" s="341" t="s">
        <v>5334</v>
      </c>
    </row>
    <row r="4032" spans="1:3" x14ac:dyDescent="0.2">
      <c r="A4032" s="333">
        <v>39049006945</v>
      </c>
      <c r="B4032" t="s">
        <v>1066</v>
      </c>
      <c r="C4032" s="341" t="s">
        <v>4330</v>
      </c>
    </row>
    <row r="4033" spans="1:3" x14ac:dyDescent="0.2">
      <c r="A4033" s="333">
        <v>39049006950</v>
      </c>
      <c r="B4033" t="s">
        <v>1067</v>
      </c>
      <c r="C4033" s="341" t="s">
        <v>5334</v>
      </c>
    </row>
    <row r="4034" spans="1:3" x14ac:dyDescent="0.2">
      <c r="A4034" s="333">
        <v>39049006991</v>
      </c>
      <c r="B4034" t="s">
        <v>5490</v>
      </c>
      <c r="C4034" s="341" t="s">
        <v>5334</v>
      </c>
    </row>
    <row r="4035" spans="1:3" x14ac:dyDescent="0.2">
      <c r="A4035" s="333">
        <v>39049006992</v>
      </c>
      <c r="B4035" t="s">
        <v>5491</v>
      </c>
      <c r="C4035" s="341" t="s">
        <v>5334</v>
      </c>
    </row>
    <row r="4036" spans="1:3" x14ac:dyDescent="0.2">
      <c r="A4036" s="333">
        <v>39049007010</v>
      </c>
      <c r="B4036" t="s">
        <v>1069</v>
      </c>
      <c r="C4036" s="341" t="s">
        <v>5334</v>
      </c>
    </row>
    <row r="4037" spans="1:3" x14ac:dyDescent="0.2">
      <c r="A4037" s="333">
        <v>39049007020</v>
      </c>
      <c r="B4037" t="s">
        <v>1070</v>
      </c>
      <c r="C4037" s="341" t="s">
        <v>5334</v>
      </c>
    </row>
    <row r="4038" spans="1:3" x14ac:dyDescent="0.2">
      <c r="A4038" s="333">
        <v>39049007041</v>
      </c>
      <c r="B4038" t="s">
        <v>1071</v>
      </c>
      <c r="C4038" s="341" t="s">
        <v>5334</v>
      </c>
    </row>
    <row r="4039" spans="1:3" x14ac:dyDescent="0.2">
      <c r="A4039" s="333">
        <v>39049007043</v>
      </c>
      <c r="B4039" t="s">
        <v>1072</v>
      </c>
      <c r="C4039" s="341" t="s">
        <v>5334</v>
      </c>
    </row>
    <row r="4040" spans="1:3" x14ac:dyDescent="0.2">
      <c r="A4040" s="333">
        <v>39049007044</v>
      </c>
      <c r="B4040" t="s">
        <v>1073</v>
      </c>
      <c r="C4040" s="341" t="s">
        <v>5334</v>
      </c>
    </row>
    <row r="4041" spans="1:3" x14ac:dyDescent="0.2">
      <c r="A4041" s="333">
        <v>39049007047</v>
      </c>
      <c r="B4041" t="s">
        <v>1074</v>
      </c>
      <c r="C4041" s="341" t="s">
        <v>5334</v>
      </c>
    </row>
    <row r="4042" spans="1:3" x14ac:dyDescent="0.2">
      <c r="A4042" s="333">
        <v>39049007048</v>
      </c>
      <c r="B4042" t="s">
        <v>1075</v>
      </c>
      <c r="C4042" s="341" t="s">
        <v>5334</v>
      </c>
    </row>
    <row r="4043" spans="1:3" x14ac:dyDescent="0.2">
      <c r="A4043" s="333">
        <v>39049007101</v>
      </c>
      <c r="B4043" t="s">
        <v>5492</v>
      </c>
      <c r="C4043" s="341" t="s">
        <v>5334</v>
      </c>
    </row>
    <row r="4044" spans="1:3" x14ac:dyDescent="0.2">
      <c r="A4044" s="333">
        <v>39049007102</v>
      </c>
      <c r="B4044" t="s">
        <v>5493</v>
      </c>
      <c r="C4044" s="341" t="s">
        <v>5334</v>
      </c>
    </row>
    <row r="4045" spans="1:3" x14ac:dyDescent="0.2">
      <c r="A4045" s="333">
        <v>39049007103</v>
      </c>
      <c r="B4045" t="s">
        <v>5494</v>
      </c>
      <c r="C4045" s="341" t="s">
        <v>5334</v>
      </c>
    </row>
    <row r="4046" spans="1:3" x14ac:dyDescent="0.2">
      <c r="A4046" s="333">
        <v>39049007112</v>
      </c>
      <c r="B4046" t="s">
        <v>1076</v>
      </c>
      <c r="C4046" s="341" t="s">
        <v>5334</v>
      </c>
    </row>
    <row r="4047" spans="1:3" x14ac:dyDescent="0.2">
      <c r="A4047" s="333">
        <v>39049007113</v>
      </c>
      <c r="B4047" t="s">
        <v>1077</v>
      </c>
      <c r="C4047" s="341" t="s">
        <v>5334</v>
      </c>
    </row>
    <row r="4048" spans="1:3" x14ac:dyDescent="0.2">
      <c r="A4048" s="333">
        <v>39049007114</v>
      </c>
      <c r="B4048" t="s">
        <v>1078</v>
      </c>
      <c r="C4048" s="341" t="s">
        <v>5334</v>
      </c>
    </row>
    <row r="4049" spans="1:3" x14ac:dyDescent="0.2">
      <c r="A4049" s="333">
        <v>39049007115</v>
      </c>
      <c r="B4049" t="s">
        <v>1079</v>
      </c>
      <c r="C4049" s="341" t="s">
        <v>4330</v>
      </c>
    </row>
    <row r="4050" spans="1:3" x14ac:dyDescent="0.2">
      <c r="A4050" s="333">
        <v>39049007120</v>
      </c>
      <c r="B4050" t="s">
        <v>1080</v>
      </c>
      <c r="C4050" s="341" t="s">
        <v>5334</v>
      </c>
    </row>
    <row r="4051" spans="1:3" x14ac:dyDescent="0.2">
      <c r="A4051" s="333">
        <v>39049007193</v>
      </c>
      <c r="B4051" t="s">
        <v>1082</v>
      </c>
      <c r="C4051" s="341" t="s">
        <v>5334</v>
      </c>
    </row>
    <row r="4052" spans="1:3" x14ac:dyDescent="0.2">
      <c r="A4052" s="333">
        <v>39049007198</v>
      </c>
      <c r="B4052" t="s">
        <v>1084</v>
      </c>
      <c r="C4052" s="341" t="s">
        <v>5334</v>
      </c>
    </row>
    <row r="4053" spans="1:3" x14ac:dyDescent="0.2">
      <c r="A4053" s="333">
        <v>39049007199</v>
      </c>
      <c r="B4053" t="s">
        <v>1085</v>
      </c>
      <c r="C4053" s="341" t="s">
        <v>5334</v>
      </c>
    </row>
    <row r="4054" spans="1:3" x14ac:dyDescent="0.2">
      <c r="A4054" s="333">
        <v>39049007202</v>
      </c>
      <c r="B4054" t="s">
        <v>1087</v>
      </c>
      <c r="C4054" s="341" t="s">
        <v>5334</v>
      </c>
    </row>
    <row r="4055" spans="1:3" x14ac:dyDescent="0.2">
      <c r="A4055" s="333">
        <v>39049007205</v>
      </c>
      <c r="B4055" t="s">
        <v>1089</v>
      </c>
      <c r="C4055" s="341" t="s">
        <v>5334</v>
      </c>
    </row>
    <row r="4056" spans="1:3" x14ac:dyDescent="0.2">
      <c r="A4056" s="333">
        <v>39049007209</v>
      </c>
      <c r="B4056" t="s">
        <v>1091</v>
      </c>
      <c r="C4056" s="341" t="s">
        <v>5334</v>
      </c>
    </row>
    <row r="4057" spans="1:3" x14ac:dyDescent="0.2">
      <c r="A4057" s="333">
        <v>39049007211</v>
      </c>
      <c r="B4057" t="s">
        <v>5495</v>
      </c>
      <c r="C4057" s="341" t="s">
        <v>5334</v>
      </c>
    </row>
    <row r="4058" spans="1:3" x14ac:dyDescent="0.2">
      <c r="A4058" s="333">
        <v>39049007212</v>
      </c>
      <c r="B4058" t="s">
        <v>5496</v>
      </c>
      <c r="C4058" s="341" t="s">
        <v>5334</v>
      </c>
    </row>
    <row r="4059" spans="1:3" x14ac:dyDescent="0.2">
      <c r="A4059" s="333">
        <v>39049007213</v>
      </c>
      <c r="B4059" t="s">
        <v>5497</v>
      </c>
      <c r="C4059" s="341" t="s">
        <v>5334</v>
      </c>
    </row>
    <row r="4060" spans="1:3" x14ac:dyDescent="0.2">
      <c r="A4060" s="333">
        <v>39049007214</v>
      </c>
      <c r="B4060" t="s">
        <v>5498</v>
      </c>
      <c r="C4060" s="341" t="s">
        <v>5334</v>
      </c>
    </row>
    <row r="4061" spans="1:3" x14ac:dyDescent="0.2">
      <c r="A4061" s="333">
        <v>39049007215</v>
      </c>
      <c r="B4061" t="s">
        <v>5499</v>
      </c>
      <c r="C4061" s="341" t="s">
        <v>5334</v>
      </c>
    </row>
    <row r="4062" spans="1:3" x14ac:dyDescent="0.2">
      <c r="A4062" s="333">
        <v>39049007301</v>
      </c>
      <c r="B4062" t="s">
        <v>5500</v>
      </c>
      <c r="C4062" s="341" t="s">
        <v>5334</v>
      </c>
    </row>
    <row r="4063" spans="1:3" x14ac:dyDescent="0.2">
      <c r="A4063" s="333">
        <v>39049007302</v>
      </c>
      <c r="B4063" t="s">
        <v>5501</v>
      </c>
      <c r="C4063" s="341" t="s">
        <v>5334</v>
      </c>
    </row>
    <row r="4064" spans="1:3" x14ac:dyDescent="0.2">
      <c r="A4064" s="333">
        <v>39049007303</v>
      </c>
      <c r="B4064" t="s">
        <v>5502</v>
      </c>
      <c r="C4064" s="341" t="s">
        <v>5334</v>
      </c>
    </row>
    <row r="4065" spans="1:3" x14ac:dyDescent="0.2">
      <c r="A4065" s="333">
        <v>39049007305</v>
      </c>
      <c r="B4065" t="s">
        <v>5503</v>
      </c>
      <c r="C4065" s="341" t="s">
        <v>5334</v>
      </c>
    </row>
    <row r="4066" spans="1:3" x14ac:dyDescent="0.2">
      <c r="A4066" s="333">
        <v>39049007306</v>
      </c>
      <c r="B4066" t="s">
        <v>5504</v>
      </c>
      <c r="C4066" s="341" t="s">
        <v>5334</v>
      </c>
    </row>
    <row r="4067" spans="1:3" x14ac:dyDescent="0.2">
      <c r="A4067" s="333">
        <v>39049007394</v>
      </c>
      <c r="B4067" t="s">
        <v>1094</v>
      </c>
      <c r="C4067" s="341" t="s">
        <v>5334</v>
      </c>
    </row>
    <row r="4068" spans="1:3" x14ac:dyDescent="0.2">
      <c r="A4068" s="333">
        <v>39049007397</v>
      </c>
      <c r="B4068" t="s">
        <v>5505</v>
      </c>
      <c r="C4068" s="341" t="s">
        <v>5334</v>
      </c>
    </row>
    <row r="4069" spans="1:3" x14ac:dyDescent="0.2">
      <c r="A4069" s="333">
        <v>39049007398</v>
      </c>
      <c r="B4069" t="s">
        <v>5506</v>
      </c>
      <c r="C4069" s="341" t="s">
        <v>5334</v>
      </c>
    </row>
    <row r="4070" spans="1:3" x14ac:dyDescent="0.2">
      <c r="A4070" s="333">
        <v>39049007424</v>
      </c>
      <c r="B4070" t="s">
        <v>1097</v>
      </c>
      <c r="C4070" s="341" t="s">
        <v>5334</v>
      </c>
    </row>
    <row r="4071" spans="1:3" x14ac:dyDescent="0.2">
      <c r="A4071" s="333">
        <v>39049007425</v>
      </c>
      <c r="B4071" t="s">
        <v>1098</v>
      </c>
      <c r="C4071" s="341" t="s">
        <v>5334</v>
      </c>
    </row>
    <row r="4072" spans="1:3" x14ac:dyDescent="0.2">
      <c r="A4072" s="333">
        <v>39049007426</v>
      </c>
      <c r="B4072" t="s">
        <v>1099</v>
      </c>
      <c r="C4072" s="341" t="s">
        <v>5334</v>
      </c>
    </row>
    <row r="4073" spans="1:3" x14ac:dyDescent="0.2">
      <c r="A4073" s="333">
        <v>39049007427</v>
      </c>
      <c r="B4073" t="s">
        <v>1100</v>
      </c>
      <c r="C4073" s="341" t="s">
        <v>5334</v>
      </c>
    </row>
    <row r="4074" spans="1:3" x14ac:dyDescent="0.2">
      <c r="A4074" s="333">
        <v>39049007492</v>
      </c>
      <c r="B4074" t="s">
        <v>1101</v>
      </c>
      <c r="C4074" s="341" t="s">
        <v>5334</v>
      </c>
    </row>
    <row r="4075" spans="1:3" x14ac:dyDescent="0.2">
      <c r="A4075" s="333">
        <v>39049007494</v>
      </c>
      <c r="B4075" t="s">
        <v>1102</v>
      </c>
      <c r="C4075" s="341" t="s">
        <v>5334</v>
      </c>
    </row>
    <row r="4076" spans="1:3" x14ac:dyDescent="0.2">
      <c r="A4076" s="333">
        <v>39049007511</v>
      </c>
      <c r="B4076" t="s">
        <v>1103</v>
      </c>
      <c r="C4076" s="341" t="s">
        <v>4330</v>
      </c>
    </row>
    <row r="4077" spans="1:3" x14ac:dyDescent="0.2">
      <c r="A4077" s="333">
        <v>39049007512</v>
      </c>
      <c r="B4077" t="s">
        <v>1104</v>
      </c>
      <c r="C4077" s="341" t="s">
        <v>4330</v>
      </c>
    </row>
    <row r="4078" spans="1:3" x14ac:dyDescent="0.2">
      <c r="A4078" s="333">
        <v>39049007520</v>
      </c>
      <c r="B4078" t="s">
        <v>1105</v>
      </c>
      <c r="C4078" s="341" t="s">
        <v>4330</v>
      </c>
    </row>
    <row r="4079" spans="1:3" x14ac:dyDescent="0.2">
      <c r="A4079" s="333">
        <v>39049007531</v>
      </c>
      <c r="B4079" t="s">
        <v>1106</v>
      </c>
      <c r="C4079" s="341" t="s">
        <v>4330</v>
      </c>
    </row>
    <row r="4080" spans="1:3" x14ac:dyDescent="0.2">
      <c r="A4080" s="333">
        <v>39049007532</v>
      </c>
      <c r="B4080" t="s">
        <v>1107</v>
      </c>
      <c r="C4080" s="341" t="s">
        <v>4330</v>
      </c>
    </row>
    <row r="4081" spans="1:3" x14ac:dyDescent="0.2">
      <c r="A4081" s="333">
        <v>39049007533</v>
      </c>
      <c r="B4081" t="s">
        <v>1108</v>
      </c>
      <c r="C4081" s="341" t="s">
        <v>4330</v>
      </c>
    </row>
    <row r="4082" spans="1:3" x14ac:dyDescent="0.2">
      <c r="A4082" s="333">
        <v>39049007534</v>
      </c>
      <c r="B4082" t="s">
        <v>1109</v>
      </c>
      <c r="C4082" s="341" t="s">
        <v>4330</v>
      </c>
    </row>
    <row r="4083" spans="1:3" x14ac:dyDescent="0.2">
      <c r="A4083" s="333">
        <v>39049007550</v>
      </c>
      <c r="B4083" t="s">
        <v>1110</v>
      </c>
      <c r="C4083" s="341" t="s">
        <v>5334</v>
      </c>
    </row>
    <row r="4084" spans="1:3" x14ac:dyDescent="0.2">
      <c r="A4084" s="333">
        <v>39049007552</v>
      </c>
      <c r="B4084" t="s">
        <v>5507</v>
      </c>
      <c r="C4084" s="341" t="s">
        <v>4330</v>
      </c>
    </row>
    <row r="4085" spans="1:3" x14ac:dyDescent="0.2">
      <c r="A4085" s="333">
        <v>39049007553</v>
      </c>
      <c r="B4085" t="s">
        <v>5508</v>
      </c>
      <c r="C4085" s="341" t="s">
        <v>4330</v>
      </c>
    </row>
    <row r="4086" spans="1:3" x14ac:dyDescent="0.2">
      <c r="A4086" s="333">
        <v>39049007710</v>
      </c>
      <c r="B4086" t="s">
        <v>1112</v>
      </c>
      <c r="C4086" s="341" t="s">
        <v>4330</v>
      </c>
    </row>
    <row r="4087" spans="1:3" x14ac:dyDescent="0.2">
      <c r="A4087" s="333">
        <v>39049007721</v>
      </c>
      <c r="B4087" t="s">
        <v>1113</v>
      </c>
      <c r="C4087" s="341" t="s">
        <v>4330</v>
      </c>
    </row>
    <row r="4088" spans="1:3" x14ac:dyDescent="0.2">
      <c r="A4088" s="333">
        <v>39049007722</v>
      </c>
      <c r="B4088" t="s">
        <v>1114</v>
      </c>
      <c r="C4088" s="341" t="s">
        <v>4330</v>
      </c>
    </row>
    <row r="4089" spans="1:3" x14ac:dyDescent="0.2">
      <c r="A4089" s="333">
        <v>39049007730</v>
      </c>
      <c r="B4089" t="s">
        <v>1115</v>
      </c>
      <c r="C4089" s="341" t="s">
        <v>5334</v>
      </c>
    </row>
    <row r="4090" spans="1:3" x14ac:dyDescent="0.2">
      <c r="A4090" s="333">
        <v>39049007740</v>
      </c>
      <c r="B4090" t="s">
        <v>1116</v>
      </c>
      <c r="C4090" s="341" t="s">
        <v>4330</v>
      </c>
    </row>
    <row r="4091" spans="1:3" x14ac:dyDescent="0.2">
      <c r="A4091" s="333">
        <v>39049007811</v>
      </c>
      <c r="B4091" t="s">
        <v>1117</v>
      </c>
      <c r="C4091" s="341" t="s">
        <v>5334</v>
      </c>
    </row>
    <row r="4092" spans="1:3" x14ac:dyDescent="0.2">
      <c r="A4092" s="333">
        <v>39049007812</v>
      </c>
      <c r="B4092" t="s">
        <v>1118</v>
      </c>
      <c r="C4092" s="341" t="s">
        <v>4330</v>
      </c>
    </row>
    <row r="4093" spans="1:3" x14ac:dyDescent="0.2">
      <c r="A4093" s="333">
        <v>39049007820</v>
      </c>
      <c r="B4093" t="s">
        <v>1119</v>
      </c>
      <c r="C4093" s="341" t="s">
        <v>4330</v>
      </c>
    </row>
    <row r="4094" spans="1:3" x14ac:dyDescent="0.2">
      <c r="A4094" s="333">
        <v>39049007830</v>
      </c>
      <c r="B4094" t="s">
        <v>1120</v>
      </c>
      <c r="C4094" s="341" t="s">
        <v>4330</v>
      </c>
    </row>
    <row r="4095" spans="1:3" x14ac:dyDescent="0.2">
      <c r="A4095" s="333">
        <v>39049007922</v>
      </c>
      <c r="B4095" t="s">
        <v>1122</v>
      </c>
      <c r="C4095" s="341" t="s">
        <v>5334</v>
      </c>
    </row>
    <row r="4096" spans="1:3" x14ac:dyDescent="0.2">
      <c r="A4096" s="333">
        <v>39049007931</v>
      </c>
      <c r="B4096" t="s">
        <v>1123</v>
      </c>
      <c r="C4096" s="341" t="s">
        <v>5334</v>
      </c>
    </row>
    <row r="4097" spans="1:3" x14ac:dyDescent="0.2">
      <c r="A4097" s="333">
        <v>39049007941</v>
      </c>
      <c r="B4097" t="s">
        <v>1125</v>
      </c>
      <c r="C4097" s="341" t="s">
        <v>5334</v>
      </c>
    </row>
    <row r="4098" spans="1:3" x14ac:dyDescent="0.2">
      <c r="A4098" s="333">
        <v>39049007955</v>
      </c>
      <c r="B4098" t="s">
        <v>5509</v>
      </c>
      <c r="C4098" s="341" t="s">
        <v>5334</v>
      </c>
    </row>
    <row r="4099" spans="1:3" x14ac:dyDescent="0.2">
      <c r="A4099" s="333">
        <v>39049007956</v>
      </c>
      <c r="B4099" t="s">
        <v>5510</v>
      </c>
      <c r="C4099" s="341" t="s">
        <v>5334</v>
      </c>
    </row>
    <row r="4100" spans="1:3" x14ac:dyDescent="0.2">
      <c r="A4100" s="333">
        <v>39049007957</v>
      </c>
      <c r="B4100" t="s">
        <v>5511</v>
      </c>
      <c r="C4100" s="341" t="s">
        <v>5334</v>
      </c>
    </row>
    <row r="4101" spans="1:3" x14ac:dyDescent="0.2">
      <c r="A4101" s="333">
        <v>39049007958</v>
      </c>
      <c r="B4101" t="s">
        <v>5512</v>
      </c>
      <c r="C4101" s="341" t="s">
        <v>5334</v>
      </c>
    </row>
    <row r="4102" spans="1:3" x14ac:dyDescent="0.2">
      <c r="A4102" s="333">
        <v>39049007959</v>
      </c>
      <c r="B4102" t="s">
        <v>5513</v>
      </c>
      <c r="C4102" s="341" t="s">
        <v>5334</v>
      </c>
    </row>
    <row r="4103" spans="1:3" x14ac:dyDescent="0.2">
      <c r="A4103" s="333">
        <v>39049007960</v>
      </c>
      <c r="B4103" t="s">
        <v>5514</v>
      </c>
      <c r="C4103" s="341" t="s">
        <v>5334</v>
      </c>
    </row>
    <row r="4104" spans="1:3" x14ac:dyDescent="0.2">
      <c r="A4104" s="333">
        <v>39049007961</v>
      </c>
      <c r="B4104" t="s">
        <v>5515</v>
      </c>
      <c r="C4104" s="341" t="s">
        <v>5334</v>
      </c>
    </row>
    <row r="4105" spans="1:3" x14ac:dyDescent="0.2">
      <c r="A4105" s="333">
        <v>39049007962</v>
      </c>
      <c r="B4105" t="s">
        <v>5516</v>
      </c>
      <c r="C4105" s="341" t="s">
        <v>5334</v>
      </c>
    </row>
    <row r="4106" spans="1:3" x14ac:dyDescent="0.2">
      <c r="A4106" s="333">
        <v>39049007963</v>
      </c>
      <c r="B4106" t="s">
        <v>5517</v>
      </c>
      <c r="C4106" s="341" t="s">
        <v>5334</v>
      </c>
    </row>
    <row r="4107" spans="1:3" x14ac:dyDescent="0.2">
      <c r="A4107" s="333">
        <v>39049007964</v>
      </c>
      <c r="B4107" t="s">
        <v>5518</v>
      </c>
      <c r="C4107" s="341" t="s">
        <v>5334</v>
      </c>
    </row>
    <row r="4108" spans="1:3" x14ac:dyDescent="0.2">
      <c r="A4108" s="333">
        <v>39049007965</v>
      </c>
      <c r="B4108" t="s">
        <v>5519</v>
      </c>
      <c r="C4108" s="341" t="s">
        <v>5334</v>
      </c>
    </row>
    <row r="4109" spans="1:3" x14ac:dyDescent="0.2">
      <c r="A4109" s="333">
        <v>39049007966</v>
      </c>
      <c r="B4109" t="s">
        <v>5520</v>
      </c>
      <c r="C4109" s="341" t="s">
        <v>5334</v>
      </c>
    </row>
    <row r="4110" spans="1:3" x14ac:dyDescent="0.2">
      <c r="A4110" s="333">
        <v>39049008001</v>
      </c>
      <c r="B4110" t="s">
        <v>5521</v>
      </c>
      <c r="C4110" s="341" t="s">
        <v>5334</v>
      </c>
    </row>
    <row r="4111" spans="1:3" x14ac:dyDescent="0.2">
      <c r="A4111" s="333">
        <v>39049008002</v>
      </c>
      <c r="B4111" t="s">
        <v>5522</v>
      </c>
      <c r="C4111" s="341" t="s">
        <v>5334</v>
      </c>
    </row>
    <row r="4112" spans="1:3" x14ac:dyDescent="0.2">
      <c r="A4112" s="333">
        <v>39049008110</v>
      </c>
      <c r="B4112" t="s">
        <v>1131</v>
      </c>
      <c r="C4112" s="341" t="s">
        <v>5334</v>
      </c>
    </row>
    <row r="4113" spans="1:3" x14ac:dyDescent="0.2">
      <c r="A4113" s="333">
        <v>39049008120</v>
      </c>
      <c r="B4113" t="s">
        <v>1132</v>
      </c>
      <c r="C4113" s="341" t="s">
        <v>4330</v>
      </c>
    </row>
    <row r="4114" spans="1:3" x14ac:dyDescent="0.2">
      <c r="A4114" s="333">
        <v>39049008132</v>
      </c>
      <c r="B4114" t="s">
        <v>1133</v>
      </c>
      <c r="C4114" s="341" t="s">
        <v>5334</v>
      </c>
    </row>
    <row r="4115" spans="1:3" x14ac:dyDescent="0.2">
      <c r="A4115" s="333">
        <v>39049008163</v>
      </c>
      <c r="B4115" t="s">
        <v>1138</v>
      </c>
      <c r="C4115" s="341" t="s">
        <v>4330</v>
      </c>
    </row>
    <row r="4116" spans="1:3" x14ac:dyDescent="0.2">
      <c r="A4116" s="333">
        <v>39049008164</v>
      </c>
      <c r="B4116" t="s">
        <v>1139</v>
      </c>
      <c r="C4116" s="341" t="s">
        <v>5334</v>
      </c>
    </row>
    <row r="4117" spans="1:3" x14ac:dyDescent="0.2">
      <c r="A4117" s="333">
        <v>39049008165</v>
      </c>
      <c r="B4117" t="s">
        <v>5523</v>
      </c>
      <c r="C4117" s="341" t="s">
        <v>5334</v>
      </c>
    </row>
    <row r="4118" spans="1:3" x14ac:dyDescent="0.2">
      <c r="A4118" s="333">
        <v>39049008166</v>
      </c>
      <c r="B4118" t="s">
        <v>5524</v>
      </c>
      <c r="C4118" s="341" t="s">
        <v>5334</v>
      </c>
    </row>
    <row r="4119" spans="1:3" x14ac:dyDescent="0.2">
      <c r="A4119" s="333">
        <v>39049008167</v>
      </c>
      <c r="B4119" t="s">
        <v>5525</v>
      </c>
      <c r="C4119" s="341" t="s">
        <v>5334</v>
      </c>
    </row>
    <row r="4120" spans="1:3" x14ac:dyDescent="0.2">
      <c r="A4120" s="333">
        <v>39049008168</v>
      </c>
      <c r="B4120" t="s">
        <v>5526</v>
      </c>
      <c r="C4120" s="341" t="s">
        <v>5334</v>
      </c>
    </row>
    <row r="4121" spans="1:3" x14ac:dyDescent="0.2">
      <c r="A4121" s="333">
        <v>39049008169</v>
      </c>
      <c r="B4121" t="s">
        <v>5527</v>
      </c>
      <c r="C4121" s="341" t="s">
        <v>5334</v>
      </c>
    </row>
    <row r="4122" spans="1:3" x14ac:dyDescent="0.2">
      <c r="A4122" s="333">
        <v>39049008170</v>
      </c>
      <c r="B4122" t="s">
        <v>5528</v>
      </c>
      <c r="C4122" s="341" t="s">
        <v>5334</v>
      </c>
    </row>
    <row r="4123" spans="1:3" x14ac:dyDescent="0.2">
      <c r="A4123" s="333">
        <v>39049008171</v>
      </c>
      <c r="B4123" t="s">
        <v>5529</v>
      </c>
      <c r="C4123" s="341" t="s">
        <v>5334</v>
      </c>
    </row>
    <row r="4124" spans="1:3" x14ac:dyDescent="0.2">
      <c r="A4124" s="333">
        <v>39049008172</v>
      </c>
      <c r="B4124" t="s">
        <v>5530</v>
      </c>
      <c r="C4124" s="341" t="s">
        <v>5334</v>
      </c>
    </row>
    <row r="4125" spans="1:3" x14ac:dyDescent="0.2">
      <c r="A4125" s="333">
        <v>39049008210</v>
      </c>
      <c r="B4125" t="s">
        <v>1140</v>
      </c>
      <c r="C4125" s="341" t="s">
        <v>4330</v>
      </c>
    </row>
    <row r="4126" spans="1:3" x14ac:dyDescent="0.2">
      <c r="A4126" s="333">
        <v>39049008230</v>
      </c>
      <c r="B4126" t="s">
        <v>1141</v>
      </c>
      <c r="C4126" s="341" t="s">
        <v>4330</v>
      </c>
    </row>
    <row r="4127" spans="1:3" x14ac:dyDescent="0.2">
      <c r="A4127" s="333">
        <v>39049008241</v>
      </c>
      <c r="B4127" t="s">
        <v>1142</v>
      </c>
      <c r="C4127" s="341" t="s">
        <v>4330</v>
      </c>
    </row>
    <row r="4128" spans="1:3" x14ac:dyDescent="0.2">
      <c r="A4128" s="333">
        <v>39049008242</v>
      </c>
      <c r="B4128" t="s">
        <v>1143</v>
      </c>
      <c r="C4128" s="341" t="s">
        <v>5334</v>
      </c>
    </row>
    <row r="4129" spans="1:3" x14ac:dyDescent="0.2">
      <c r="A4129" s="333">
        <v>39049008311</v>
      </c>
      <c r="B4129" t="s">
        <v>1144</v>
      </c>
      <c r="C4129" s="341" t="s">
        <v>4330</v>
      </c>
    </row>
    <row r="4130" spans="1:3" x14ac:dyDescent="0.2">
      <c r="A4130" s="333">
        <v>39049008312</v>
      </c>
      <c r="B4130" t="s">
        <v>1145</v>
      </c>
      <c r="C4130" s="341" t="s">
        <v>4330</v>
      </c>
    </row>
    <row r="4131" spans="1:3" x14ac:dyDescent="0.2">
      <c r="A4131" s="333">
        <v>39049008321</v>
      </c>
      <c r="B4131" t="s">
        <v>1146</v>
      </c>
      <c r="C4131" s="341" t="s">
        <v>5334</v>
      </c>
    </row>
    <row r="4132" spans="1:3" x14ac:dyDescent="0.2">
      <c r="A4132" s="333">
        <v>39049008322</v>
      </c>
      <c r="B4132" t="s">
        <v>1147</v>
      </c>
      <c r="C4132" s="341" t="s">
        <v>4330</v>
      </c>
    </row>
    <row r="4133" spans="1:3" x14ac:dyDescent="0.2">
      <c r="A4133" s="333">
        <v>39049008330</v>
      </c>
      <c r="B4133" t="s">
        <v>1148</v>
      </c>
      <c r="C4133" s="341" t="s">
        <v>4330</v>
      </c>
    </row>
    <row r="4134" spans="1:3" x14ac:dyDescent="0.2">
      <c r="A4134" s="333">
        <v>39049008340</v>
      </c>
      <c r="B4134" t="s">
        <v>1149</v>
      </c>
      <c r="C4134" s="341" t="s">
        <v>5334</v>
      </c>
    </row>
    <row r="4135" spans="1:3" x14ac:dyDescent="0.2">
      <c r="A4135" s="333">
        <v>39049008350</v>
      </c>
      <c r="B4135" t="s">
        <v>1150</v>
      </c>
      <c r="C4135" s="341" t="s">
        <v>4330</v>
      </c>
    </row>
    <row r="4136" spans="1:3" x14ac:dyDescent="0.2">
      <c r="A4136" s="333">
        <v>39049008360</v>
      </c>
      <c r="B4136" t="s">
        <v>1151</v>
      </c>
      <c r="C4136" s="341" t="s">
        <v>5334</v>
      </c>
    </row>
    <row r="4137" spans="1:3" x14ac:dyDescent="0.2">
      <c r="A4137" s="333">
        <v>39049008380</v>
      </c>
      <c r="B4137" t="s">
        <v>1153</v>
      </c>
      <c r="C4137" s="341" t="s">
        <v>5334</v>
      </c>
    </row>
    <row r="4138" spans="1:3" x14ac:dyDescent="0.2">
      <c r="A4138" s="333">
        <v>39049008381</v>
      </c>
      <c r="B4138" t="s">
        <v>5531</v>
      </c>
      <c r="C4138" s="341" t="s">
        <v>5334</v>
      </c>
    </row>
    <row r="4139" spans="1:3" x14ac:dyDescent="0.2">
      <c r="A4139" s="333">
        <v>39049008382</v>
      </c>
      <c r="B4139" t="s">
        <v>5532</v>
      </c>
      <c r="C4139" s="341" t="s">
        <v>5334</v>
      </c>
    </row>
    <row r="4140" spans="1:3" x14ac:dyDescent="0.2">
      <c r="A4140" s="333">
        <v>39049008400</v>
      </c>
      <c r="B4140" t="s">
        <v>1154</v>
      </c>
      <c r="C4140" s="341" t="s">
        <v>5334</v>
      </c>
    </row>
    <row r="4141" spans="1:3" x14ac:dyDescent="0.2">
      <c r="A4141" s="333">
        <v>39049008500</v>
      </c>
      <c r="B4141" t="s">
        <v>1155</v>
      </c>
      <c r="C4141" s="341" t="s">
        <v>5334</v>
      </c>
    </row>
    <row r="4142" spans="1:3" x14ac:dyDescent="0.2">
      <c r="A4142" s="333">
        <v>39049008710</v>
      </c>
      <c r="B4142" t="s">
        <v>1156</v>
      </c>
      <c r="C4142" s="341" t="s">
        <v>5334</v>
      </c>
    </row>
    <row r="4143" spans="1:3" x14ac:dyDescent="0.2">
      <c r="A4143" s="333">
        <v>39049008720</v>
      </c>
      <c r="B4143" t="s">
        <v>1157</v>
      </c>
      <c r="C4143" s="341" t="s">
        <v>4330</v>
      </c>
    </row>
    <row r="4144" spans="1:3" x14ac:dyDescent="0.2">
      <c r="A4144" s="333">
        <v>39049008730</v>
      </c>
      <c r="B4144" t="s">
        <v>1158</v>
      </c>
      <c r="C4144" s="341" t="s">
        <v>4330</v>
      </c>
    </row>
    <row r="4145" spans="1:3" x14ac:dyDescent="0.2">
      <c r="A4145" s="333">
        <v>39049008811</v>
      </c>
      <c r="B4145" t="s">
        <v>1159</v>
      </c>
      <c r="C4145" s="341" t="s">
        <v>4330</v>
      </c>
    </row>
    <row r="4146" spans="1:3" x14ac:dyDescent="0.2">
      <c r="A4146" s="333">
        <v>39049008812</v>
      </c>
      <c r="B4146" t="s">
        <v>1160</v>
      </c>
      <c r="C4146" s="341" t="s">
        <v>5334</v>
      </c>
    </row>
    <row r="4147" spans="1:3" x14ac:dyDescent="0.2">
      <c r="A4147" s="333">
        <v>39049008813</v>
      </c>
      <c r="B4147" t="s">
        <v>1161</v>
      </c>
      <c r="C4147" s="341" t="s">
        <v>4330</v>
      </c>
    </row>
    <row r="4148" spans="1:3" x14ac:dyDescent="0.2">
      <c r="A4148" s="333">
        <v>39049008821</v>
      </c>
      <c r="B4148" t="s">
        <v>1162</v>
      </c>
      <c r="C4148" s="341" t="s">
        <v>4330</v>
      </c>
    </row>
    <row r="4149" spans="1:3" x14ac:dyDescent="0.2">
      <c r="A4149" s="333">
        <v>39049008822</v>
      </c>
      <c r="B4149" t="s">
        <v>1163</v>
      </c>
      <c r="C4149" s="341" t="s">
        <v>4330</v>
      </c>
    </row>
    <row r="4150" spans="1:3" x14ac:dyDescent="0.2">
      <c r="A4150" s="333">
        <v>39049008825</v>
      </c>
      <c r="B4150" t="s">
        <v>1164</v>
      </c>
      <c r="C4150" s="341" t="s">
        <v>5334</v>
      </c>
    </row>
    <row r="4151" spans="1:3" x14ac:dyDescent="0.2">
      <c r="A4151" s="333">
        <v>39049008900</v>
      </c>
      <c r="B4151" t="s">
        <v>1165</v>
      </c>
      <c r="C4151" s="341" t="s">
        <v>5334</v>
      </c>
    </row>
    <row r="4152" spans="1:3" x14ac:dyDescent="0.2">
      <c r="A4152" s="333">
        <v>39049009000</v>
      </c>
      <c r="B4152" t="s">
        <v>1166</v>
      </c>
      <c r="C4152" s="341" t="s">
        <v>5334</v>
      </c>
    </row>
    <row r="4153" spans="1:3" x14ac:dyDescent="0.2">
      <c r="A4153" s="333">
        <v>39049009100</v>
      </c>
      <c r="B4153" t="s">
        <v>1167</v>
      </c>
      <c r="C4153" s="341" t="s">
        <v>5334</v>
      </c>
    </row>
    <row r="4154" spans="1:3" x14ac:dyDescent="0.2">
      <c r="A4154" s="333">
        <v>39049009220</v>
      </c>
      <c r="B4154" t="s">
        <v>1169</v>
      </c>
      <c r="C4154" s="341" t="s">
        <v>4330</v>
      </c>
    </row>
    <row r="4155" spans="1:3" x14ac:dyDescent="0.2">
      <c r="A4155" s="333">
        <v>39049009230</v>
      </c>
      <c r="B4155" t="s">
        <v>1170</v>
      </c>
      <c r="C4155" s="341" t="s">
        <v>4330</v>
      </c>
    </row>
    <row r="4156" spans="1:3" x14ac:dyDescent="0.2">
      <c r="A4156" s="333">
        <v>39049009240</v>
      </c>
      <c r="B4156" t="s">
        <v>1171</v>
      </c>
      <c r="C4156" s="341" t="s">
        <v>5334</v>
      </c>
    </row>
    <row r="4157" spans="1:3" x14ac:dyDescent="0.2">
      <c r="A4157" s="333">
        <v>39049009250</v>
      </c>
      <c r="B4157" t="s">
        <v>1172</v>
      </c>
      <c r="C4157" s="341" t="s">
        <v>5334</v>
      </c>
    </row>
    <row r="4158" spans="1:3" x14ac:dyDescent="0.2">
      <c r="A4158" s="333">
        <v>39049009251</v>
      </c>
      <c r="B4158" t="s">
        <v>5533</v>
      </c>
      <c r="C4158" s="341" t="s">
        <v>5334</v>
      </c>
    </row>
    <row r="4159" spans="1:3" x14ac:dyDescent="0.2">
      <c r="A4159" s="333">
        <v>39049009252</v>
      </c>
      <c r="B4159" t="s">
        <v>5534</v>
      </c>
      <c r="C4159" s="341" t="s">
        <v>4330</v>
      </c>
    </row>
    <row r="4160" spans="1:3" x14ac:dyDescent="0.2">
      <c r="A4160" s="333">
        <v>39049009311</v>
      </c>
      <c r="B4160" t="s">
        <v>1173</v>
      </c>
      <c r="C4160" s="341" t="s">
        <v>4330</v>
      </c>
    </row>
    <row r="4161" spans="1:3" x14ac:dyDescent="0.2">
      <c r="A4161" s="333">
        <v>39049009312</v>
      </c>
      <c r="B4161" t="s">
        <v>1174</v>
      </c>
      <c r="C4161" s="341" t="s">
        <v>4330</v>
      </c>
    </row>
    <row r="4162" spans="1:3" x14ac:dyDescent="0.2">
      <c r="A4162" s="333">
        <v>39049009321</v>
      </c>
      <c r="B4162" t="s">
        <v>1175</v>
      </c>
      <c r="C4162" s="341" t="s">
        <v>4330</v>
      </c>
    </row>
    <row r="4163" spans="1:3" x14ac:dyDescent="0.2">
      <c r="A4163" s="333">
        <v>39049009322</v>
      </c>
      <c r="B4163" t="s">
        <v>1176</v>
      </c>
      <c r="C4163" s="341" t="s">
        <v>5334</v>
      </c>
    </row>
    <row r="4164" spans="1:3" x14ac:dyDescent="0.2">
      <c r="A4164" s="333">
        <v>39049009323</v>
      </c>
      <c r="B4164" t="s">
        <v>1177</v>
      </c>
      <c r="C4164" s="341" t="s">
        <v>4330</v>
      </c>
    </row>
    <row r="4165" spans="1:3" x14ac:dyDescent="0.2">
      <c r="A4165" s="333">
        <v>39049009325</v>
      </c>
      <c r="B4165" t="s">
        <v>1178</v>
      </c>
      <c r="C4165" s="341" t="s">
        <v>4330</v>
      </c>
    </row>
    <row r="4166" spans="1:3" x14ac:dyDescent="0.2">
      <c r="A4166" s="333">
        <v>39049009326</v>
      </c>
      <c r="B4166" t="s">
        <v>1179</v>
      </c>
      <c r="C4166" s="341" t="s">
        <v>4330</v>
      </c>
    </row>
    <row r="4167" spans="1:3" x14ac:dyDescent="0.2">
      <c r="A4167" s="333">
        <v>39049009332</v>
      </c>
      <c r="B4167" t="s">
        <v>1181</v>
      </c>
      <c r="C4167" s="341" t="s">
        <v>5334</v>
      </c>
    </row>
    <row r="4168" spans="1:3" x14ac:dyDescent="0.2">
      <c r="A4168" s="333">
        <v>39049009334</v>
      </c>
      <c r="B4168" t="s">
        <v>1183</v>
      </c>
      <c r="C4168" s="341" t="s">
        <v>5334</v>
      </c>
    </row>
    <row r="4169" spans="1:3" x14ac:dyDescent="0.2">
      <c r="A4169" s="333">
        <v>39049009336</v>
      </c>
      <c r="B4169" t="s">
        <v>1184</v>
      </c>
      <c r="C4169" s="341" t="s">
        <v>4330</v>
      </c>
    </row>
    <row r="4170" spans="1:3" x14ac:dyDescent="0.2">
      <c r="A4170" s="333">
        <v>39049009337</v>
      </c>
      <c r="B4170" t="s">
        <v>1185</v>
      </c>
      <c r="C4170" s="341" t="s">
        <v>4330</v>
      </c>
    </row>
    <row r="4171" spans="1:3" x14ac:dyDescent="0.2">
      <c r="A4171" s="333">
        <v>39049009340</v>
      </c>
      <c r="B4171" t="s">
        <v>1186</v>
      </c>
      <c r="C4171" s="341" t="s">
        <v>4330</v>
      </c>
    </row>
    <row r="4172" spans="1:3" x14ac:dyDescent="0.2">
      <c r="A4172" s="333">
        <v>39049009350</v>
      </c>
      <c r="B4172" t="s">
        <v>1187</v>
      </c>
      <c r="C4172" s="341" t="s">
        <v>5334</v>
      </c>
    </row>
    <row r="4173" spans="1:3" x14ac:dyDescent="0.2">
      <c r="A4173" s="333">
        <v>39049009361</v>
      </c>
      <c r="B4173" t="s">
        <v>1188</v>
      </c>
      <c r="C4173" s="341" t="s">
        <v>5334</v>
      </c>
    </row>
    <row r="4174" spans="1:3" x14ac:dyDescent="0.2">
      <c r="A4174" s="333">
        <v>39049009372</v>
      </c>
      <c r="B4174" t="s">
        <v>1191</v>
      </c>
      <c r="C4174" s="341" t="s">
        <v>5334</v>
      </c>
    </row>
    <row r="4175" spans="1:3" x14ac:dyDescent="0.2">
      <c r="A4175" s="333">
        <v>39049009373</v>
      </c>
      <c r="B4175" t="s">
        <v>1192</v>
      </c>
      <c r="C4175" s="341" t="s">
        <v>5334</v>
      </c>
    </row>
    <row r="4176" spans="1:3" x14ac:dyDescent="0.2">
      <c r="A4176" s="333">
        <v>39049009381</v>
      </c>
      <c r="B4176" t="s">
        <v>1194</v>
      </c>
      <c r="C4176" s="341" t="s">
        <v>5334</v>
      </c>
    </row>
    <row r="4177" spans="1:3" x14ac:dyDescent="0.2">
      <c r="A4177" s="333">
        <v>39049009382</v>
      </c>
      <c r="B4177" t="s">
        <v>1195</v>
      </c>
      <c r="C4177" s="341" t="s">
        <v>5334</v>
      </c>
    </row>
    <row r="4178" spans="1:3" x14ac:dyDescent="0.2">
      <c r="A4178" s="333">
        <v>39049009383</v>
      </c>
      <c r="B4178" t="s">
        <v>1196</v>
      </c>
      <c r="C4178" s="341" t="s">
        <v>5334</v>
      </c>
    </row>
    <row r="4179" spans="1:3" x14ac:dyDescent="0.2">
      <c r="A4179" s="333">
        <v>39049009384</v>
      </c>
      <c r="B4179" t="s">
        <v>1197</v>
      </c>
      <c r="C4179" s="341" t="s">
        <v>5334</v>
      </c>
    </row>
    <row r="4180" spans="1:3" x14ac:dyDescent="0.2">
      <c r="A4180" s="333">
        <v>39049009385</v>
      </c>
      <c r="B4180" t="s">
        <v>1198</v>
      </c>
      <c r="C4180" s="341" t="s">
        <v>5334</v>
      </c>
    </row>
    <row r="4181" spans="1:3" x14ac:dyDescent="0.2">
      <c r="A4181" s="333">
        <v>39049009386</v>
      </c>
      <c r="B4181" t="s">
        <v>1199</v>
      </c>
      <c r="C4181" s="341" t="s">
        <v>4330</v>
      </c>
    </row>
    <row r="4182" spans="1:3" x14ac:dyDescent="0.2">
      <c r="A4182" s="333">
        <v>39049009390</v>
      </c>
      <c r="B4182" t="s">
        <v>1200</v>
      </c>
      <c r="C4182" s="341" t="s">
        <v>5334</v>
      </c>
    </row>
    <row r="4183" spans="1:3" x14ac:dyDescent="0.2">
      <c r="A4183" s="333">
        <v>39049009391</v>
      </c>
      <c r="B4183" t="s">
        <v>5535</v>
      </c>
      <c r="C4183" s="341" t="s">
        <v>5334</v>
      </c>
    </row>
    <row r="4184" spans="1:3" x14ac:dyDescent="0.2">
      <c r="A4184" s="333">
        <v>39049009392</v>
      </c>
      <c r="B4184" t="s">
        <v>5536</v>
      </c>
      <c r="C4184" s="341" t="s">
        <v>5334</v>
      </c>
    </row>
    <row r="4185" spans="1:3" x14ac:dyDescent="0.2">
      <c r="A4185" s="333">
        <v>39049009393</v>
      </c>
      <c r="B4185" t="s">
        <v>5537</v>
      </c>
      <c r="C4185" s="341" t="s">
        <v>4330</v>
      </c>
    </row>
    <row r="4186" spans="1:3" x14ac:dyDescent="0.2">
      <c r="A4186" s="333">
        <v>39049009394</v>
      </c>
      <c r="B4186" t="s">
        <v>5538</v>
      </c>
      <c r="C4186" s="341" t="s">
        <v>5334</v>
      </c>
    </row>
    <row r="4187" spans="1:3" x14ac:dyDescent="0.2">
      <c r="A4187" s="333">
        <v>39049009395</v>
      </c>
      <c r="B4187" t="s">
        <v>5539</v>
      </c>
      <c r="C4187" s="341" t="s">
        <v>5334</v>
      </c>
    </row>
    <row r="4188" spans="1:3" x14ac:dyDescent="0.2">
      <c r="A4188" s="333">
        <v>39049009396</v>
      </c>
      <c r="B4188" t="s">
        <v>5540</v>
      </c>
      <c r="C4188" s="341" t="s">
        <v>5334</v>
      </c>
    </row>
    <row r="4189" spans="1:3" x14ac:dyDescent="0.2">
      <c r="A4189" s="333">
        <v>39049009397</v>
      </c>
      <c r="B4189" t="s">
        <v>5541</v>
      </c>
      <c r="C4189" s="341" t="s">
        <v>5334</v>
      </c>
    </row>
    <row r="4190" spans="1:3" x14ac:dyDescent="0.2">
      <c r="A4190" s="333">
        <v>39049009401</v>
      </c>
      <c r="B4190" t="s">
        <v>5542</v>
      </c>
      <c r="C4190" s="341" t="s">
        <v>5334</v>
      </c>
    </row>
    <row r="4191" spans="1:3" x14ac:dyDescent="0.2">
      <c r="A4191" s="333">
        <v>39049009403</v>
      </c>
      <c r="B4191" t="s">
        <v>5543</v>
      </c>
      <c r="C4191" s="341" t="s">
        <v>5334</v>
      </c>
    </row>
    <row r="4192" spans="1:3" x14ac:dyDescent="0.2">
      <c r="A4192" s="333">
        <v>39049009404</v>
      </c>
      <c r="B4192" t="s">
        <v>5544</v>
      </c>
      <c r="C4192" s="341" t="s">
        <v>5334</v>
      </c>
    </row>
    <row r="4193" spans="1:3" x14ac:dyDescent="0.2">
      <c r="A4193" s="333">
        <v>39049009405</v>
      </c>
      <c r="B4193" t="s">
        <v>5545</v>
      </c>
      <c r="C4193" s="341" t="s">
        <v>5334</v>
      </c>
    </row>
    <row r="4194" spans="1:3" x14ac:dyDescent="0.2">
      <c r="A4194" s="333">
        <v>39049009410</v>
      </c>
      <c r="B4194" t="s">
        <v>1201</v>
      </c>
      <c r="C4194" s="341" t="s">
        <v>5334</v>
      </c>
    </row>
    <row r="4195" spans="1:3" x14ac:dyDescent="0.2">
      <c r="A4195" s="333">
        <v>39049009420</v>
      </c>
      <c r="B4195" t="s">
        <v>1202</v>
      </c>
      <c r="C4195" s="341" t="s">
        <v>5334</v>
      </c>
    </row>
    <row r="4196" spans="1:3" x14ac:dyDescent="0.2">
      <c r="A4196" s="333">
        <v>39049009440</v>
      </c>
      <c r="B4196" t="s">
        <v>1204</v>
      </c>
      <c r="C4196" s="341" t="s">
        <v>5334</v>
      </c>
    </row>
    <row r="4197" spans="1:3" x14ac:dyDescent="0.2">
      <c r="A4197" s="333">
        <v>39049009495</v>
      </c>
      <c r="B4197" t="s">
        <v>1206</v>
      </c>
      <c r="C4197" s="341" t="s">
        <v>5334</v>
      </c>
    </row>
    <row r="4198" spans="1:3" x14ac:dyDescent="0.2">
      <c r="A4198" s="333">
        <v>39049009497</v>
      </c>
      <c r="B4198" t="s">
        <v>1207</v>
      </c>
      <c r="C4198" s="341" t="s">
        <v>5334</v>
      </c>
    </row>
    <row r="4199" spans="1:3" x14ac:dyDescent="0.2">
      <c r="A4199" s="333">
        <v>39049009498</v>
      </c>
      <c r="B4199" t="s">
        <v>5546</v>
      </c>
      <c r="C4199" s="341" t="s">
        <v>5334</v>
      </c>
    </row>
    <row r="4200" spans="1:3" x14ac:dyDescent="0.2">
      <c r="A4200" s="333">
        <v>39049009520</v>
      </c>
      <c r="B4200" t="s">
        <v>1208</v>
      </c>
      <c r="C4200" s="341" t="s">
        <v>5334</v>
      </c>
    </row>
    <row r="4201" spans="1:3" x14ac:dyDescent="0.2">
      <c r="A4201" s="333">
        <v>39049009590</v>
      </c>
      <c r="B4201" t="s">
        <v>1209</v>
      </c>
      <c r="C4201" s="341" t="s">
        <v>5334</v>
      </c>
    </row>
    <row r="4202" spans="1:3" x14ac:dyDescent="0.2">
      <c r="A4202" s="333">
        <v>39049009600</v>
      </c>
      <c r="B4202" t="s">
        <v>1210</v>
      </c>
      <c r="C4202" s="341" t="s">
        <v>5334</v>
      </c>
    </row>
    <row r="4203" spans="1:3" x14ac:dyDescent="0.2">
      <c r="A4203" s="333">
        <v>39049009711</v>
      </c>
      <c r="B4203" t="s">
        <v>1211</v>
      </c>
      <c r="C4203" s="341" t="s">
        <v>5334</v>
      </c>
    </row>
    <row r="4204" spans="1:3" x14ac:dyDescent="0.2">
      <c r="A4204" s="333">
        <v>39049009712</v>
      </c>
      <c r="B4204" t="s">
        <v>1212</v>
      </c>
      <c r="C4204" s="341" t="s">
        <v>5334</v>
      </c>
    </row>
    <row r="4205" spans="1:3" x14ac:dyDescent="0.2">
      <c r="A4205" s="333">
        <v>39049009751</v>
      </c>
      <c r="B4205" t="s">
        <v>1215</v>
      </c>
      <c r="C4205" s="341" t="s">
        <v>5334</v>
      </c>
    </row>
    <row r="4206" spans="1:3" x14ac:dyDescent="0.2">
      <c r="A4206" s="333">
        <v>39049009752</v>
      </c>
      <c r="B4206" t="s">
        <v>1216</v>
      </c>
      <c r="C4206" s="341" t="s">
        <v>5334</v>
      </c>
    </row>
    <row r="4207" spans="1:3" x14ac:dyDescent="0.2">
      <c r="A4207" s="333">
        <v>39049009753</v>
      </c>
      <c r="B4207" t="s">
        <v>5547</v>
      </c>
      <c r="C4207" s="341" t="s">
        <v>5334</v>
      </c>
    </row>
    <row r="4208" spans="1:3" x14ac:dyDescent="0.2">
      <c r="A4208" s="333">
        <v>39049009754</v>
      </c>
      <c r="B4208" t="s">
        <v>5548</v>
      </c>
      <c r="C4208" s="341" t="s">
        <v>5334</v>
      </c>
    </row>
    <row r="4209" spans="1:3" x14ac:dyDescent="0.2">
      <c r="A4209" s="333">
        <v>39049009755</v>
      </c>
      <c r="B4209" t="s">
        <v>5549</v>
      </c>
      <c r="C4209" s="341" t="s">
        <v>5334</v>
      </c>
    </row>
    <row r="4210" spans="1:3" x14ac:dyDescent="0.2">
      <c r="A4210" s="333">
        <v>39049009756</v>
      </c>
      <c r="B4210" t="s">
        <v>5550</v>
      </c>
      <c r="C4210" s="341" t="s">
        <v>5334</v>
      </c>
    </row>
    <row r="4211" spans="1:3" x14ac:dyDescent="0.2">
      <c r="A4211" s="333">
        <v>39049009757</v>
      </c>
      <c r="B4211" t="s">
        <v>5551</v>
      </c>
      <c r="C4211" s="341" t="s">
        <v>5334</v>
      </c>
    </row>
    <row r="4212" spans="1:3" x14ac:dyDescent="0.2">
      <c r="A4212" s="333">
        <v>39049009801</v>
      </c>
      <c r="B4212" t="s">
        <v>5552</v>
      </c>
      <c r="C4212" s="341" t="s">
        <v>5334</v>
      </c>
    </row>
    <row r="4213" spans="1:3" x14ac:dyDescent="0.2">
      <c r="A4213" s="333">
        <v>39049009802</v>
      </c>
      <c r="B4213" t="s">
        <v>5553</v>
      </c>
      <c r="C4213" s="341" t="s">
        <v>5334</v>
      </c>
    </row>
    <row r="4214" spans="1:3" x14ac:dyDescent="0.2">
      <c r="A4214" s="333">
        <v>39049009900</v>
      </c>
      <c r="B4214" t="s">
        <v>1218</v>
      </c>
      <c r="C4214" s="341" t="s">
        <v>4330</v>
      </c>
    </row>
    <row r="4215" spans="1:3" x14ac:dyDescent="0.2">
      <c r="A4215" s="333">
        <v>39049010000</v>
      </c>
      <c r="B4215" t="s">
        <v>1219</v>
      </c>
      <c r="C4215" s="341" t="s">
        <v>5334</v>
      </c>
    </row>
    <row r="4216" spans="1:3" x14ac:dyDescent="0.2">
      <c r="A4216" s="333">
        <v>39049010100</v>
      </c>
      <c r="B4216" t="s">
        <v>1220</v>
      </c>
      <c r="C4216" s="341" t="s">
        <v>5334</v>
      </c>
    </row>
    <row r="4217" spans="1:3" x14ac:dyDescent="0.2">
      <c r="A4217" s="333">
        <v>39049010201</v>
      </c>
      <c r="B4217" t="s">
        <v>5554</v>
      </c>
      <c r="C4217" s="341" t="s">
        <v>5334</v>
      </c>
    </row>
    <row r="4218" spans="1:3" x14ac:dyDescent="0.2">
      <c r="A4218" s="333">
        <v>39049010202</v>
      </c>
      <c r="B4218" t="s">
        <v>5555</v>
      </c>
      <c r="C4218" s="341" t="s">
        <v>5334</v>
      </c>
    </row>
    <row r="4219" spans="1:3" x14ac:dyDescent="0.2">
      <c r="A4219" s="333">
        <v>39049010203</v>
      </c>
      <c r="B4219" t="s">
        <v>5556</v>
      </c>
      <c r="C4219" s="341" t="s">
        <v>5334</v>
      </c>
    </row>
    <row r="4220" spans="1:3" x14ac:dyDescent="0.2">
      <c r="A4220" s="333">
        <v>39049010204</v>
      </c>
      <c r="B4220" t="s">
        <v>5557</v>
      </c>
      <c r="C4220" s="341" t="s">
        <v>5334</v>
      </c>
    </row>
    <row r="4221" spans="1:3" x14ac:dyDescent="0.2">
      <c r="A4221" s="333">
        <v>39049010300</v>
      </c>
      <c r="B4221" t="s">
        <v>1222</v>
      </c>
      <c r="C4221" s="341" t="s">
        <v>4330</v>
      </c>
    </row>
    <row r="4222" spans="1:3" x14ac:dyDescent="0.2">
      <c r="A4222" s="333">
        <v>39049010401</v>
      </c>
      <c r="B4222" t="s">
        <v>5558</v>
      </c>
      <c r="C4222" s="341" t="s">
        <v>5334</v>
      </c>
    </row>
    <row r="4223" spans="1:3" x14ac:dyDescent="0.2">
      <c r="A4223" s="333">
        <v>39049010402</v>
      </c>
      <c r="B4223" t="s">
        <v>5559</v>
      </c>
      <c r="C4223" s="341" t="s">
        <v>5334</v>
      </c>
    </row>
    <row r="4224" spans="1:3" x14ac:dyDescent="0.2">
      <c r="A4224" s="333">
        <v>39049010501</v>
      </c>
      <c r="B4224" t="s">
        <v>5560</v>
      </c>
      <c r="C4224" s="341" t="s">
        <v>5334</v>
      </c>
    </row>
    <row r="4225" spans="1:3" x14ac:dyDescent="0.2">
      <c r="A4225" s="333">
        <v>39049010502</v>
      </c>
      <c r="B4225" t="s">
        <v>5561</v>
      </c>
      <c r="C4225" s="341" t="s">
        <v>5334</v>
      </c>
    </row>
    <row r="4226" spans="1:3" x14ac:dyDescent="0.2">
      <c r="A4226" s="333">
        <v>39049010601</v>
      </c>
      <c r="B4226" t="s">
        <v>1225</v>
      </c>
      <c r="C4226" s="341" t="s">
        <v>5334</v>
      </c>
    </row>
    <row r="4227" spans="1:3" x14ac:dyDescent="0.2">
      <c r="A4227" s="333">
        <v>39049010602</v>
      </c>
      <c r="B4227" t="s">
        <v>1226</v>
      </c>
      <c r="C4227" s="341" t="s">
        <v>5334</v>
      </c>
    </row>
    <row r="4228" spans="1:3" x14ac:dyDescent="0.2">
      <c r="A4228" s="333">
        <v>39049010700</v>
      </c>
      <c r="B4228" t="s">
        <v>1227</v>
      </c>
      <c r="C4228" s="341" t="s">
        <v>5334</v>
      </c>
    </row>
    <row r="4229" spans="1:3" x14ac:dyDescent="0.2">
      <c r="A4229" s="333">
        <v>39049010900</v>
      </c>
      <c r="B4229" t="s">
        <v>5562</v>
      </c>
      <c r="C4229" s="341" t="s">
        <v>5334</v>
      </c>
    </row>
    <row r="4230" spans="1:3" x14ac:dyDescent="0.2">
      <c r="A4230" s="333">
        <v>39049980000</v>
      </c>
      <c r="B4230" t="s">
        <v>1228</v>
      </c>
      <c r="C4230" s="341" t="s">
        <v>5334</v>
      </c>
    </row>
    <row r="4231" spans="1:3" x14ac:dyDescent="0.2">
      <c r="A4231" s="333">
        <v>39051040100</v>
      </c>
      <c r="B4231" t="s">
        <v>1229</v>
      </c>
      <c r="C4231" s="341" t="s">
        <v>5334</v>
      </c>
    </row>
    <row r="4232" spans="1:3" x14ac:dyDescent="0.2">
      <c r="A4232" s="333">
        <v>39051040200</v>
      </c>
      <c r="B4232" t="s">
        <v>1230</v>
      </c>
      <c r="C4232" s="341" t="s">
        <v>5334</v>
      </c>
    </row>
    <row r="4233" spans="1:3" x14ac:dyDescent="0.2">
      <c r="A4233" s="333">
        <v>39051040300</v>
      </c>
      <c r="B4233" t="s">
        <v>1231</v>
      </c>
      <c r="C4233" s="341" t="s">
        <v>5334</v>
      </c>
    </row>
    <row r="4234" spans="1:3" x14ac:dyDescent="0.2">
      <c r="A4234" s="333">
        <v>39051040400</v>
      </c>
      <c r="B4234" t="s">
        <v>1232</v>
      </c>
      <c r="C4234" s="341" t="s">
        <v>5334</v>
      </c>
    </row>
    <row r="4235" spans="1:3" x14ac:dyDescent="0.2">
      <c r="A4235" s="333">
        <v>39051040500</v>
      </c>
      <c r="B4235" t="s">
        <v>1233</v>
      </c>
      <c r="C4235" s="341" t="s">
        <v>5334</v>
      </c>
    </row>
    <row r="4236" spans="1:3" x14ac:dyDescent="0.2">
      <c r="A4236" s="333">
        <v>39051040600</v>
      </c>
      <c r="B4236" t="s">
        <v>1234</v>
      </c>
      <c r="C4236" s="341" t="s">
        <v>5334</v>
      </c>
    </row>
    <row r="4237" spans="1:3" x14ac:dyDescent="0.2">
      <c r="A4237" s="333">
        <v>39051040701</v>
      </c>
      <c r="B4237" t="s">
        <v>5563</v>
      </c>
      <c r="C4237" s="341" t="s">
        <v>5334</v>
      </c>
    </row>
    <row r="4238" spans="1:3" x14ac:dyDescent="0.2">
      <c r="A4238" s="333">
        <v>39051040702</v>
      </c>
      <c r="B4238" t="s">
        <v>5564</v>
      </c>
      <c r="C4238" s="341" t="s">
        <v>5334</v>
      </c>
    </row>
    <row r="4239" spans="1:3" x14ac:dyDescent="0.2">
      <c r="A4239" s="333">
        <v>39051040800</v>
      </c>
      <c r="B4239" t="s">
        <v>1236</v>
      </c>
      <c r="C4239" s="341" t="s">
        <v>5334</v>
      </c>
    </row>
    <row r="4240" spans="1:3" x14ac:dyDescent="0.2">
      <c r="A4240" s="333">
        <v>39051040900</v>
      </c>
      <c r="B4240" t="s">
        <v>1237</v>
      </c>
      <c r="C4240" s="341" t="s">
        <v>5334</v>
      </c>
    </row>
    <row r="4241" spans="1:3" x14ac:dyDescent="0.2">
      <c r="A4241" s="333">
        <v>39053953500</v>
      </c>
      <c r="B4241" t="s">
        <v>1238</v>
      </c>
      <c r="C4241" s="341" t="s">
        <v>5334</v>
      </c>
    </row>
    <row r="4242" spans="1:3" x14ac:dyDescent="0.2">
      <c r="A4242" s="333">
        <v>39053953600</v>
      </c>
      <c r="B4242" t="s">
        <v>1239</v>
      </c>
      <c r="C4242" s="341" t="s">
        <v>5334</v>
      </c>
    </row>
    <row r="4243" spans="1:3" x14ac:dyDescent="0.2">
      <c r="A4243" s="333">
        <v>39053953700</v>
      </c>
      <c r="B4243" t="s">
        <v>1240</v>
      </c>
      <c r="C4243" s="341" t="s">
        <v>4330</v>
      </c>
    </row>
    <row r="4244" spans="1:3" x14ac:dyDescent="0.2">
      <c r="A4244" s="333">
        <v>39053953800</v>
      </c>
      <c r="B4244" t="s">
        <v>1241</v>
      </c>
      <c r="C4244" s="341" t="s">
        <v>5334</v>
      </c>
    </row>
    <row r="4245" spans="1:3" x14ac:dyDescent="0.2">
      <c r="A4245" s="333">
        <v>39053953901</v>
      </c>
      <c r="B4245" t="s">
        <v>5565</v>
      </c>
      <c r="C4245" s="341" t="s">
        <v>5334</v>
      </c>
    </row>
    <row r="4246" spans="1:3" x14ac:dyDescent="0.2">
      <c r="A4246" s="333">
        <v>39053953902</v>
      </c>
      <c r="B4246" t="s">
        <v>5566</v>
      </c>
      <c r="C4246" s="341" t="s">
        <v>5334</v>
      </c>
    </row>
    <row r="4247" spans="1:3" x14ac:dyDescent="0.2">
      <c r="A4247" s="333">
        <v>39053954000</v>
      </c>
      <c r="B4247" t="s">
        <v>1243</v>
      </c>
      <c r="C4247" s="341" t="s">
        <v>4330</v>
      </c>
    </row>
    <row r="4248" spans="1:3" x14ac:dyDescent="0.2">
      <c r="A4248" s="333">
        <v>39053954100</v>
      </c>
      <c r="B4248" t="s">
        <v>1244</v>
      </c>
      <c r="C4248" s="341" t="s">
        <v>5334</v>
      </c>
    </row>
    <row r="4249" spans="1:3" x14ac:dyDescent="0.2">
      <c r="A4249" s="333">
        <v>39055310100</v>
      </c>
      <c r="B4249" t="s">
        <v>1245</v>
      </c>
      <c r="C4249" s="341" t="s">
        <v>5334</v>
      </c>
    </row>
    <row r="4250" spans="1:3" x14ac:dyDescent="0.2">
      <c r="A4250" s="333">
        <v>39055310200</v>
      </c>
      <c r="B4250" t="s">
        <v>1246</v>
      </c>
      <c r="C4250" s="341" t="s">
        <v>5334</v>
      </c>
    </row>
    <row r="4251" spans="1:3" x14ac:dyDescent="0.2">
      <c r="A4251" s="333">
        <v>39055310600</v>
      </c>
      <c r="B4251" t="s">
        <v>1247</v>
      </c>
      <c r="C4251" s="341" t="s">
        <v>5334</v>
      </c>
    </row>
    <row r="4252" spans="1:3" x14ac:dyDescent="0.2">
      <c r="A4252" s="333">
        <v>39055310700</v>
      </c>
      <c r="B4252" t="s">
        <v>1248</v>
      </c>
      <c r="C4252" s="341" t="s">
        <v>5334</v>
      </c>
    </row>
    <row r="4253" spans="1:3" x14ac:dyDescent="0.2">
      <c r="A4253" s="333">
        <v>39055310800</v>
      </c>
      <c r="B4253" t="s">
        <v>1249</v>
      </c>
      <c r="C4253" s="341" t="s">
        <v>5334</v>
      </c>
    </row>
    <row r="4254" spans="1:3" x14ac:dyDescent="0.2">
      <c r="A4254" s="333">
        <v>39055310900</v>
      </c>
      <c r="B4254" t="s">
        <v>1250</v>
      </c>
      <c r="C4254" s="341" t="s">
        <v>5334</v>
      </c>
    </row>
    <row r="4255" spans="1:3" x14ac:dyDescent="0.2">
      <c r="A4255" s="333">
        <v>39055311000</v>
      </c>
      <c r="B4255" t="s">
        <v>1251</v>
      </c>
      <c r="C4255" s="341" t="s">
        <v>5334</v>
      </c>
    </row>
    <row r="4256" spans="1:3" x14ac:dyDescent="0.2">
      <c r="A4256" s="333">
        <v>39055311300</v>
      </c>
      <c r="B4256" t="s">
        <v>1252</v>
      </c>
      <c r="C4256" s="341" t="s">
        <v>5334</v>
      </c>
    </row>
    <row r="4257" spans="1:3" x14ac:dyDescent="0.2">
      <c r="A4257" s="333">
        <v>39055311400</v>
      </c>
      <c r="B4257" t="s">
        <v>1253</v>
      </c>
      <c r="C4257" s="341" t="s">
        <v>5334</v>
      </c>
    </row>
    <row r="4258" spans="1:3" x14ac:dyDescent="0.2">
      <c r="A4258" s="333">
        <v>39055311500</v>
      </c>
      <c r="B4258" t="s">
        <v>1254</v>
      </c>
      <c r="C4258" s="341" t="s">
        <v>5334</v>
      </c>
    </row>
    <row r="4259" spans="1:3" x14ac:dyDescent="0.2">
      <c r="A4259" s="333">
        <v>39055311600</v>
      </c>
      <c r="B4259" t="s">
        <v>1255</v>
      </c>
      <c r="C4259" s="341" t="s">
        <v>5334</v>
      </c>
    </row>
    <row r="4260" spans="1:3" x14ac:dyDescent="0.2">
      <c r="A4260" s="333">
        <v>39055311700</v>
      </c>
      <c r="B4260" t="s">
        <v>1256</v>
      </c>
      <c r="C4260" s="341" t="s">
        <v>5334</v>
      </c>
    </row>
    <row r="4261" spans="1:3" x14ac:dyDescent="0.2">
      <c r="A4261" s="333">
        <v>39055311800</v>
      </c>
      <c r="B4261" t="s">
        <v>1257</v>
      </c>
      <c r="C4261" s="341" t="s">
        <v>5334</v>
      </c>
    </row>
    <row r="4262" spans="1:3" x14ac:dyDescent="0.2">
      <c r="A4262" s="333">
        <v>39055311900</v>
      </c>
      <c r="B4262" t="s">
        <v>1258</v>
      </c>
      <c r="C4262" s="341" t="s">
        <v>5334</v>
      </c>
    </row>
    <row r="4263" spans="1:3" x14ac:dyDescent="0.2">
      <c r="A4263" s="333">
        <v>39055312000</v>
      </c>
      <c r="B4263" t="s">
        <v>1259</v>
      </c>
      <c r="C4263" s="341" t="s">
        <v>5334</v>
      </c>
    </row>
    <row r="4264" spans="1:3" x14ac:dyDescent="0.2">
      <c r="A4264" s="333">
        <v>39055312100</v>
      </c>
      <c r="B4264" t="s">
        <v>1260</v>
      </c>
      <c r="C4264" s="341" t="s">
        <v>5334</v>
      </c>
    </row>
    <row r="4265" spans="1:3" x14ac:dyDescent="0.2">
      <c r="A4265" s="333">
        <v>39055312201</v>
      </c>
      <c r="B4265" t="s">
        <v>1261</v>
      </c>
      <c r="C4265" s="341" t="s">
        <v>5334</v>
      </c>
    </row>
    <row r="4266" spans="1:3" x14ac:dyDescent="0.2">
      <c r="A4266" s="333">
        <v>39055312202</v>
      </c>
      <c r="B4266" t="s">
        <v>1262</v>
      </c>
      <c r="C4266" s="341" t="s">
        <v>5334</v>
      </c>
    </row>
    <row r="4267" spans="1:3" x14ac:dyDescent="0.2">
      <c r="A4267" s="333">
        <v>39055312203</v>
      </c>
      <c r="B4267" t="s">
        <v>1263</v>
      </c>
      <c r="C4267" s="341" t="s">
        <v>5334</v>
      </c>
    </row>
    <row r="4268" spans="1:3" x14ac:dyDescent="0.2">
      <c r="A4268" s="333">
        <v>39055312300</v>
      </c>
      <c r="B4268" t="s">
        <v>1264</v>
      </c>
      <c r="C4268" s="341" t="s">
        <v>5334</v>
      </c>
    </row>
    <row r="4269" spans="1:3" x14ac:dyDescent="0.2">
      <c r="A4269" s="333">
        <v>39055312400</v>
      </c>
      <c r="B4269" t="s">
        <v>1265</v>
      </c>
      <c r="C4269" s="341" t="s">
        <v>5334</v>
      </c>
    </row>
    <row r="4270" spans="1:3" x14ac:dyDescent="0.2">
      <c r="A4270" s="333">
        <v>39057200101</v>
      </c>
      <c r="B4270" t="s">
        <v>1266</v>
      </c>
      <c r="C4270" s="341" t="s">
        <v>5334</v>
      </c>
    </row>
    <row r="4271" spans="1:3" x14ac:dyDescent="0.2">
      <c r="A4271" s="333">
        <v>39057200103</v>
      </c>
      <c r="B4271" t="s">
        <v>1267</v>
      </c>
      <c r="C4271" s="341" t="s">
        <v>5334</v>
      </c>
    </row>
    <row r="4272" spans="1:3" x14ac:dyDescent="0.2">
      <c r="A4272" s="333">
        <v>39057200104</v>
      </c>
      <c r="B4272" t="s">
        <v>1268</v>
      </c>
      <c r="C4272" s="341" t="s">
        <v>4330</v>
      </c>
    </row>
    <row r="4273" spans="1:3" x14ac:dyDescent="0.2">
      <c r="A4273" s="333">
        <v>39057200300</v>
      </c>
      <c r="B4273" t="s">
        <v>1269</v>
      </c>
      <c r="C4273" s="341" t="s">
        <v>5334</v>
      </c>
    </row>
    <row r="4274" spans="1:3" x14ac:dyDescent="0.2">
      <c r="A4274" s="333">
        <v>39057200400</v>
      </c>
      <c r="B4274" t="s">
        <v>1270</v>
      </c>
      <c r="C4274" s="341" t="s">
        <v>4330</v>
      </c>
    </row>
    <row r="4275" spans="1:3" x14ac:dyDescent="0.2">
      <c r="A4275" s="333">
        <v>39057200500</v>
      </c>
      <c r="B4275" t="s">
        <v>1271</v>
      </c>
      <c r="C4275" s="341" t="s">
        <v>4330</v>
      </c>
    </row>
    <row r="4276" spans="1:3" x14ac:dyDescent="0.2">
      <c r="A4276" s="333">
        <v>39057200600</v>
      </c>
      <c r="B4276" t="s">
        <v>1272</v>
      </c>
      <c r="C4276" s="341" t="s">
        <v>5334</v>
      </c>
    </row>
    <row r="4277" spans="1:3" x14ac:dyDescent="0.2">
      <c r="A4277" s="333">
        <v>39057200700</v>
      </c>
      <c r="B4277" t="s">
        <v>1273</v>
      </c>
      <c r="C4277" s="341" t="s">
        <v>4330</v>
      </c>
    </row>
    <row r="4278" spans="1:3" x14ac:dyDescent="0.2">
      <c r="A4278" s="333">
        <v>39057200901</v>
      </c>
      <c r="B4278" t="s">
        <v>5567</v>
      </c>
      <c r="C4278" s="341" t="s">
        <v>5334</v>
      </c>
    </row>
    <row r="4279" spans="1:3" x14ac:dyDescent="0.2">
      <c r="A4279" s="333">
        <v>39057200902</v>
      </c>
      <c r="B4279" t="s">
        <v>5568</v>
      </c>
      <c r="C4279" s="341" t="s">
        <v>5334</v>
      </c>
    </row>
    <row r="4280" spans="1:3" x14ac:dyDescent="0.2">
      <c r="A4280" s="333">
        <v>39057210101</v>
      </c>
      <c r="B4280" t="s">
        <v>5569</v>
      </c>
      <c r="C4280" s="341" t="s">
        <v>5334</v>
      </c>
    </row>
    <row r="4281" spans="1:3" x14ac:dyDescent="0.2">
      <c r="A4281" s="333">
        <v>39057210102</v>
      </c>
      <c r="B4281" t="s">
        <v>5570</v>
      </c>
      <c r="C4281" s="341" t="s">
        <v>5334</v>
      </c>
    </row>
    <row r="4282" spans="1:3" x14ac:dyDescent="0.2">
      <c r="A4282" s="333">
        <v>39057210201</v>
      </c>
      <c r="B4282" t="s">
        <v>5571</v>
      </c>
      <c r="C4282" s="341" t="s">
        <v>5334</v>
      </c>
    </row>
    <row r="4283" spans="1:3" x14ac:dyDescent="0.2">
      <c r="A4283" s="333">
        <v>39057210202</v>
      </c>
      <c r="B4283" t="s">
        <v>5572</v>
      </c>
      <c r="C4283" s="341" t="s">
        <v>5334</v>
      </c>
    </row>
    <row r="4284" spans="1:3" x14ac:dyDescent="0.2">
      <c r="A4284" s="333">
        <v>39057210300</v>
      </c>
      <c r="B4284" t="s">
        <v>1277</v>
      </c>
      <c r="C4284" s="341" t="s">
        <v>5334</v>
      </c>
    </row>
    <row r="4285" spans="1:3" x14ac:dyDescent="0.2">
      <c r="A4285" s="333">
        <v>39057210401</v>
      </c>
      <c r="B4285" t="s">
        <v>1278</v>
      </c>
      <c r="C4285" s="341" t="s">
        <v>5334</v>
      </c>
    </row>
    <row r="4286" spans="1:3" x14ac:dyDescent="0.2">
      <c r="A4286" s="333">
        <v>39057210402</v>
      </c>
      <c r="B4286" t="s">
        <v>1279</v>
      </c>
      <c r="C4286" s="341" t="s">
        <v>5334</v>
      </c>
    </row>
    <row r="4287" spans="1:3" x14ac:dyDescent="0.2">
      <c r="A4287" s="333">
        <v>39057210500</v>
      </c>
      <c r="B4287" t="s">
        <v>1280</v>
      </c>
      <c r="C4287" s="341" t="s">
        <v>5334</v>
      </c>
    </row>
    <row r="4288" spans="1:3" x14ac:dyDescent="0.2">
      <c r="A4288" s="333">
        <v>39057210602</v>
      </c>
      <c r="B4288" t="s">
        <v>1282</v>
      </c>
      <c r="C4288" s="341" t="s">
        <v>5334</v>
      </c>
    </row>
    <row r="4289" spans="1:3" x14ac:dyDescent="0.2">
      <c r="A4289" s="333">
        <v>39057210603</v>
      </c>
      <c r="B4289" t="s">
        <v>1283</v>
      </c>
      <c r="C4289" s="341" t="s">
        <v>5334</v>
      </c>
    </row>
    <row r="4290" spans="1:3" x14ac:dyDescent="0.2">
      <c r="A4290" s="333">
        <v>39057210604</v>
      </c>
      <c r="B4290" t="s">
        <v>5573</v>
      </c>
      <c r="C4290" s="341" t="s">
        <v>5334</v>
      </c>
    </row>
    <row r="4291" spans="1:3" x14ac:dyDescent="0.2">
      <c r="A4291" s="333">
        <v>39057210605</v>
      </c>
      <c r="B4291" t="s">
        <v>5574</v>
      </c>
      <c r="C4291" s="341" t="s">
        <v>5334</v>
      </c>
    </row>
    <row r="4292" spans="1:3" x14ac:dyDescent="0.2">
      <c r="A4292" s="333">
        <v>39057220101</v>
      </c>
      <c r="B4292" t="s">
        <v>5575</v>
      </c>
      <c r="C4292" s="341" t="s">
        <v>5334</v>
      </c>
    </row>
    <row r="4293" spans="1:3" x14ac:dyDescent="0.2">
      <c r="A4293" s="333">
        <v>39057220102</v>
      </c>
      <c r="B4293" t="s">
        <v>5576</v>
      </c>
      <c r="C4293" s="341" t="s">
        <v>5334</v>
      </c>
    </row>
    <row r="4294" spans="1:3" x14ac:dyDescent="0.2">
      <c r="A4294" s="333">
        <v>39057220201</v>
      </c>
      <c r="B4294" t="s">
        <v>5577</v>
      </c>
      <c r="C4294" s="341" t="s">
        <v>5334</v>
      </c>
    </row>
    <row r="4295" spans="1:3" x14ac:dyDescent="0.2">
      <c r="A4295" s="333">
        <v>39057220202</v>
      </c>
      <c r="B4295" t="s">
        <v>5578</v>
      </c>
      <c r="C4295" s="341" t="s">
        <v>5334</v>
      </c>
    </row>
    <row r="4296" spans="1:3" x14ac:dyDescent="0.2">
      <c r="A4296" s="333">
        <v>39057230100</v>
      </c>
      <c r="B4296" t="s">
        <v>1286</v>
      </c>
      <c r="C4296" s="341" t="s">
        <v>5334</v>
      </c>
    </row>
    <row r="4297" spans="1:3" x14ac:dyDescent="0.2">
      <c r="A4297" s="333">
        <v>39057240100</v>
      </c>
      <c r="B4297" t="s">
        <v>1287</v>
      </c>
      <c r="C4297" s="341" t="s">
        <v>5334</v>
      </c>
    </row>
    <row r="4298" spans="1:3" x14ac:dyDescent="0.2">
      <c r="A4298" s="333">
        <v>39057240200</v>
      </c>
      <c r="B4298" t="s">
        <v>1288</v>
      </c>
      <c r="C4298" s="341" t="s">
        <v>5334</v>
      </c>
    </row>
    <row r="4299" spans="1:3" x14ac:dyDescent="0.2">
      <c r="A4299" s="333">
        <v>39057240302</v>
      </c>
      <c r="B4299" t="s">
        <v>1290</v>
      </c>
      <c r="C4299" s="341" t="s">
        <v>4330</v>
      </c>
    </row>
    <row r="4300" spans="1:3" x14ac:dyDescent="0.2">
      <c r="A4300" s="333">
        <v>39057240303</v>
      </c>
      <c r="B4300" t="s">
        <v>5579</v>
      </c>
      <c r="C4300" s="341" t="s">
        <v>5334</v>
      </c>
    </row>
    <row r="4301" spans="1:3" x14ac:dyDescent="0.2">
      <c r="A4301" s="333">
        <v>39057240304</v>
      </c>
      <c r="B4301" t="s">
        <v>5580</v>
      </c>
      <c r="C4301" s="341" t="s">
        <v>5334</v>
      </c>
    </row>
    <row r="4302" spans="1:3" x14ac:dyDescent="0.2">
      <c r="A4302" s="333">
        <v>39057240500</v>
      </c>
      <c r="B4302" t="s">
        <v>1291</v>
      </c>
      <c r="C4302" s="341" t="s">
        <v>5334</v>
      </c>
    </row>
    <row r="4303" spans="1:3" x14ac:dyDescent="0.2">
      <c r="A4303" s="333">
        <v>39057240600</v>
      </c>
      <c r="B4303" t="s">
        <v>1292</v>
      </c>
      <c r="C4303" s="341" t="s">
        <v>5334</v>
      </c>
    </row>
    <row r="4304" spans="1:3" x14ac:dyDescent="0.2">
      <c r="A4304" s="333">
        <v>39057240700</v>
      </c>
      <c r="B4304" t="s">
        <v>1293</v>
      </c>
      <c r="C4304" s="341" t="s">
        <v>5334</v>
      </c>
    </row>
    <row r="4305" spans="1:3" x14ac:dyDescent="0.2">
      <c r="A4305" s="333">
        <v>39057255000</v>
      </c>
      <c r="B4305" t="s">
        <v>1294</v>
      </c>
      <c r="C4305" s="341" t="s">
        <v>5334</v>
      </c>
    </row>
    <row r="4306" spans="1:3" x14ac:dyDescent="0.2">
      <c r="A4306" s="333">
        <v>39057260100</v>
      </c>
      <c r="B4306" t="s">
        <v>1295</v>
      </c>
      <c r="C4306" s="341" t="s">
        <v>5334</v>
      </c>
    </row>
    <row r="4307" spans="1:3" x14ac:dyDescent="0.2">
      <c r="A4307" s="333">
        <v>39057270100</v>
      </c>
      <c r="B4307" t="s">
        <v>1296</v>
      </c>
      <c r="C4307" s="341" t="s">
        <v>5334</v>
      </c>
    </row>
    <row r="4308" spans="1:3" x14ac:dyDescent="0.2">
      <c r="A4308" s="333">
        <v>39057280101</v>
      </c>
      <c r="B4308" t="s">
        <v>1297</v>
      </c>
      <c r="C4308" s="341" t="s">
        <v>5334</v>
      </c>
    </row>
    <row r="4309" spans="1:3" x14ac:dyDescent="0.2">
      <c r="A4309" s="333">
        <v>39057280102</v>
      </c>
      <c r="B4309" t="s">
        <v>1298</v>
      </c>
      <c r="C4309" s="341" t="s">
        <v>5334</v>
      </c>
    </row>
    <row r="4310" spans="1:3" x14ac:dyDescent="0.2">
      <c r="A4310" s="333">
        <v>39057280200</v>
      </c>
      <c r="B4310" t="s">
        <v>1299</v>
      </c>
      <c r="C4310" s="341" t="s">
        <v>5334</v>
      </c>
    </row>
    <row r="4311" spans="1:3" x14ac:dyDescent="0.2">
      <c r="A4311" s="333">
        <v>39057280300</v>
      </c>
      <c r="B4311" t="s">
        <v>1300</v>
      </c>
      <c r="C4311" s="341" t="s">
        <v>5334</v>
      </c>
    </row>
    <row r="4312" spans="1:3" x14ac:dyDescent="0.2">
      <c r="A4312" s="333">
        <v>39059977100</v>
      </c>
      <c r="B4312" t="s">
        <v>1301</v>
      </c>
      <c r="C4312" s="341" t="s">
        <v>5334</v>
      </c>
    </row>
    <row r="4313" spans="1:3" x14ac:dyDescent="0.2">
      <c r="A4313" s="333">
        <v>39059977200</v>
      </c>
      <c r="B4313" t="s">
        <v>1302</v>
      </c>
      <c r="C4313" s="341" t="s">
        <v>5334</v>
      </c>
    </row>
    <row r="4314" spans="1:3" x14ac:dyDescent="0.2">
      <c r="A4314" s="333">
        <v>39059977300</v>
      </c>
      <c r="B4314" t="s">
        <v>1303</v>
      </c>
      <c r="C4314" s="341" t="s">
        <v>4330</v>
      </c>
    </row>
    <row r="4315" spans="1:3" x14ac:dyDescent="0.2">
      <c r="A4315" s="333">
        <v>39059977400</v>
      </c>
      <c r="B4315" t="s">
        <v>1304</v>
      </c>
      <c r="C4315" s="341" t="s">
        <v>5334</v>
      </c>
    </row>
    <row r="4316" spans="1:3" x14ac:dyDescent="0.2">
      <c r="A4316" s="333">
        <v>39059977500</v>
      </c>
      <c r="B4316" t="s">
        <v>1305</v>
      </c>
      <c r="C4316" s="341" t="s">
        <v>5334</v>
      </c>
    </row>
    <row r="4317" spans="1:3" x14ac:dyDescent="0.2">
      <c r="A4317" s="333">
        <v>39059977600</v>
      </c>
      <c r="B4317" t="s">
        <v>1306</v>
      </c>
      <c r="C4317" s="341" t="s">
        <v>4330</v>
      </c>
    </row>
    <row r="4318" spans="1:3" x14ac:dyDescent="0.2">
      <c r="A4318" s="333">
        <v>39059977700</v>
      </c>
      <c r="B4318" t="s">
        <v>1307</v>
      </c>
      <c r="C4318" s="341" t="s">
        <v>5334</v>
      </c>
    </row>
    <row r="4319" spans="1:3" x14ac:dyDescent="0.2">
      <c r="A4319" s="333">
        <v>39059977800</v>
      </c>
      <c r="B4319" t="s">
        <v>1308</v>
      </c>
      <c r="C4319" s="341" t="s">
        <v>5334</v>
      </c>
    </row>
    <row r="4320" spans="1:3" x14ac:dyDescent="0.2">
      <c r="A4320" s="333">
        <v>39059977900</v>
      </c>
      <c r="B4320" t="s">
        <v>1309</v>
      </c>
      <c r="C4320" s="341" t="s">
        <v>5334</v>
      </c>
    </row>
    <row r="4321" spans="1:3" x14ac:dyDescent="0.2">
      <c r="A4321" s="333">
        <v>39059978000</v>
      </c>
      <c r="B4321" t="s">
        <v>1310</v>
      </c>
      <c r="C4321" s="341" t="s">
        <v>5334</v>
      </c>
    </row>
    <row r="4322" spans="1:3" x14ac:dyDescent="0.2">
      <c r="A4322" s="333">
        <v>39061000200</v>
      </c>
      <c r="B4322" t="s">
        <v>1311</v>
      </c>
      <c r="C4322" s="341" t="s">
        <v>4330</v>
      </c>
    </row>
    <row r="4323" spans="1:3" x14ac:dyDescent="0.2">
      <c r="A4323" s="333">
        <v>39061000700</v>
      </c>
      <c r="B4323" t="s">
        <v>1312</v>
      </c>
      <c r="C4323" s="341" t="s">
        <v>5334</v>
      </c>
    </row>
    <row r="4324" spans="1:3" x14ac:dyDescent="0.2">
      <c r="A4324" s="333">
        <v>39061000900</v>
      </c>
      <c r="B4324" t="s">
        <v>1313</v>
      </c>
      <c r="C4324" s="341" t="s">
        <v>4330</v>
      </c>
    </row>
    <row r="4325" spans="1:3" x14ac:dyDescent="0.2">
      <c r="A4325" s="333">
        <v>39061001000</v>
      </c>
      <c r="B4325" t="s">
        <v>1314</v>
      </c>
      <c r="C4325" s="341" t="s">
        <v>5334</v>
      </c>
    </row>
    <row r="4326" spans="1:3" x14ac:dyDescent="0.2">
      <c r="A4326" s="333">
        <v>39061001100</v>
      </c>
      <c r="B4326" t="s">
        <v>1315</v>
      </c>
      <c r="C4326" s="341" t="s">
        <v>4330</v>
      </c>
    </row>
    <row r="4327" spans="1:3" x14ac:dyDescent="0.2">
      <c r="A4327" s="333">
        <v>39061001600</v>
      </c>
      <c r="B4327" t="s">
        <v>1316</v>
      </c>
      <c r="C4327" s="341" t="s">
        <v>4330</v>
      </c>
    </row>
    <row r="4328" spans="1:3" x14ac:dyDescent="0.2">
      <c r="A4328" s="333">
        <v>39061001700</v>
      </c>
      <c r="B4328" t="s">
        <v>1317</v>
      </c>
      <c r="C4328" s="341" t="s">
        <v>4330</v>
      </c>
    </row>
    <row r="4329" spans="1:3" x14ac:dyDescent="0.2">
      <c r="A4329" s="333">
        <v>39061001800</v>
      </c>
      <c r="B4329" t="s">
        <v>1318</v>
      </c>
      <c r="C4329" s="341" t="s">
        <v>5334</v>
      </c>
    </row>
    <row r="4330" spans="1:3" x14ac:dyDescent="0.2">
      <c r="A4330" s="333">
        <v>39061001900</v>
      </c>
      <c r="B4330" t="s">
        <v>1319</v>
      </c>
      <c r="C4330" s="341" t="s">
        <v>5334</v>
      </c>
    </row>
    <row r="4331" spans="1:3" x14ac:dyDescent="0.2">
      <c r="A4331" s="333">
        <v>39061002000</v>
      </c>
      <c r="B4331" t="s">
        <v>1320</v>
      </c>
      <c r="C4331" s="341" t="s">
        <v>5334</v>
      </c>
    </row>
    <row r="4332" spans="1:3" x14ac:dyDescent="0.2">
      <c r="A4332" s="333">
        <v>39061002200</v>
      </c>
      <c r="B4332" t="s">
        <v>1321</v>
      </c>
      <c r="C4332" s="341" t="s">
        <v>4330</v>
      </c>
    </row>
    <row r="4333" spans="1:3" x14ac:dyDescent="0.2">
      <c r="A4333" s="333">
        <v>39061002300</v>
      </c>
      <c r="B4333" t="s">
        <v>1322</v>
      </c>
      <c r="C4333" s="341" t="s">
        <v>4330</v>
      </c>
    </row>
    <row r="4334" spans="1:3" x14ac:dyDescent="0.2">
      <c r="A4334" s="333">
        <v>39061002500</v>
      </c>
      <c r="B4334" t="s">
        <v>1323</v>
      </c>
      <c r="C4334" s="341" t="s">
        <v>4330</v>
      </c>
    </row>
    <row r="4335" spans="1:3" x14ac:dyDescent="0.2">
      <c r="A4335" s="333">
        <v>39061002600</v>
      </c>
      <c r="B4335" t="s">
        <v>1324</v>
      </c>
      <c r="C4335" s="341" t="s">
        <v>4330</v>
      </c>
    </row>
    <row r="4336" spans="1:3" x14ac:dyDescent="0.2">
      <c r="A4336" s="333">
        <v>39061002700</v>
      </c>
      <c r="B4336" t="s">
        <v>1325</v>
      </c>
      <c r="C4336" s="341" t="s">
        <v>4330</v>
      </c>
    </row>
    <row r="4337" spans="1:3" x14ac:dyDescent="0.2">
      <c r="A4337" s="333">
        <v>39061002800</v>
      </c>
      <c r="B4337" t="s">
        <v>1326</v>
      </c>
      <c r="C4337" s="341" t="s">
        <v>5334</v>
      </c>
    </row>
    <row r="4338" spans="1:3" x14ac:dyDescent="0.2">
      <c r="A4338" s="333">
        <v>39061002901</v>
      </c>
      <c r="B4338" t="s">
        <v>5581</v>
      </c>
      <c r="C4338" s="341" t="s">
        <v>4330</v>
      </c>
    </row>
    <row r="4339" spans="1:3" x14ac:dyDescent="0.2">
      <c r="A4339" s="333">
        <v>39061002902</v>
      </c>
      <c r="B4339" t="s">
        <v>5582</v>
      </c>
      <c r="C4339" s="341" t="s">
        <v>4330</v>
      </c>
    </row>
    <row r="4340" spans="1:3" x14ac:dyDescent="0.2">
      <c r="A4340" s="333">
        <v>39061003000</v>
      </c>
      <c r="B4340" t="s">
        <v>1328</v>
      </c>
      <c r="C4340" s="341" t="s">
        <v>4330</v>
      </c>
    </row>
    <row r="4341" spans="1:3" x14ac:dyDescent="0.2">
      <c r="A4341" s="333">
        <v>39061003200</v>
      </c>
      <c r="B4341" t="s">
        <v>1329</v>
      </c>
      <c r="C4341" s="341" t="s">
        <v>4330</v>
      </c>
    </row>
    <row r="4342" spans="1:3" x14ac:dyDescent="0.2">
      <c r="A4342" s="333">
        <v>39061003300</v>
      </c>
      <c r="B4342" t="s">
        <v>1330</v>
      </c>
      <c r="C4342" s="341" t="s">
        <v>4330</v>
      </c>
    </row>
    <row r="4343" spans="1:3" x14ac:dyDescent="0.2">
      <c r="A4343" s="333">
        <v>39061003600</v>
      </c>
      <c r="B4343" t="s">
        <v>1331</v>
      </c>
      <c r="C4343" s="341" t="s">
        <v>4330</v>
      </c>
    </row>
    <row r="4344" spans="1:3" x14ac:dyDescent="0.2">
      <c r="A4344" s="333">
        <v>39061003700</v>
      </c>
      <c r="B4344" t="s">
        <v>1332</v>
      </c>
      <c r="C4344" s="341" t="s">
        <v>4330</v>
      </c>
    </row>
    <row r="4345" spans="1:3" x14ac:dyDescent="0.2">
      <c r="A4345" s="333">
        <v>39061003800</v>
      </c>
      <c r="B4345" t="s">
        <v>1333</v>
      </c>
      <c r="C4345" s="341" t="s">
        <v>4330</v>
      </c>
    </row>
    <row r="4346" spans="1:3" x14ac:dyDescent="0.2">
      <c r="A4346" s="333">
        <v>39061003900</v>
      </c>
      <c r="B4346" t="s">
        <v>1334</v>
      </c>
      <c r="C4346" s="341" t="s">
        <v>4330</v>
      </c>
    </row>
    <row r="4347" spans="1:3" x14ac:dyDescent="0.2">
      <c r="A4347" s="333">
        <v>39061004000</v>
      </c>
      <c r="B4347" t="s">
        <v>1335</v>
      </c>
      <c r="C4347" s="341" t="s">
        <v>5334</v>
      </c>
    </row>
    <row r="4348" spans="1:3" x14ac:dyDescent="0.2">
      <c r="A4348" s="333">
        <v>39061004100</v>
      </c>
      <c r="B4348" t="s">
        <v>1336</v>
      </c>
      <c r="C4348" s="341" t="s">
        <v>5334</v>
      </c>
    </row>
    <row r="4349" spans="1:3" x14ac:dyDescent="0.2">
      <c r="A4349" s="333">
        <v>39061004200</v>
      </c>
      <c r="B4349" t="s">
        <v>1337</v>
      </c>
      <c r="C4349" s="341" t="s">
        <v>5334</v>
      </c>
    </row>
    <row r="4350" spans="1:3" x14ac:dyDescent="0.2">
      <c r="A4350" s="333">
        <v>39061004602</v>
      </c>
      <c r="B4350" t="s">
        <v>1339</v>
      </c>
      <c r="C4350" s="341" t="s">
        <v>5334</v>
      </c>
    </row>
    <row r="4351" spans="1:3" x14ac:dyDescent="0.2">
      <c r="A4351" s="333">
        <v>39061004603</v>
      </c>
      <c r="B4351" t="s">
        <v>1340</v>
      </c>
      <c r="C4351" s="341" t="s">
        <v>5334</v>
      </c>
    </row>
    <row r="4352" spans="1:3" x14ac:dyDescent="0.2">
      <c r="A4352" s="333">
        <v>39061004604</v>
      </c>
      <c r="B4352" t="s">
        <v>1341</v>
      </c>
      <c r="C4352" s="341" t="s">
        <v>5334</v>
      </c>
    </row>
    <row r="4353" spans="1:3" x14ac:dyDescent="0.2">
      <c r="A4353" s="333">
        <v>39061004605</v>
      </c>
      <c r="B4353" t="s">
        <v>1342</v>
      </c>
      <c r="C4353" s="341" t="s">
        <v>5334</v>
      </c>
    </row>
    <row r="4354" spans="1:3" x14ac:dyDescent="0.2">
      <c r="A4354" s="333">
        <v>39061004703</v>
      </c>
      <c r="B4354" t="s">
        <v>5583</v>
      </c>
      <c r="C4354" s="341" t="s">
        <v>5334</v>
      </c>
    </row>
    <row r="4355" spans="1:3" x14ac:dyDescent="0.2">
      <c r="A4355" s="333">
        <v>39061004800</v>
      </c>
      <c r="B4355" t="s">
        <v>1345</v>
      </c>
      <c r="C4355" s="341" t="s">
        <v>5334</v>
      </c>
    </row>
    <row r="4356" spans="1:3" x14ac:dyDescent="0.2">
      <c r="A4356" s="333">
        <v>39061004900</v>
      </c>
      <c r="B4356" t="s">
        <v>1346</v>
      </c>
      <c r="C4356" s="341" t="s">
        <v>5334</v>
      </c>
    </row>
    <row r="4357" spans="1:3" x14ac:dyDescent="0.2">
      <c r="A4357" s="333">
        <v>39061005000</v>
      </c>
      <c r="B4357" t="s">
        <v>1347</v>
      </c>
      <c r="C4357" s="341" t="s">
        <v>5334</v>
      </c>
    </row>
    <row r="4358" spans="1:3" x14ac:dyDescent="0.2">
      <c r="A4358" s="333">
        <v>39061005100</v>
      </c>
      <c r="B4358" t="s">
        <v>1348</v>
      </c>
      <c r="C4358" s="341" t="s">
        <v>5334</v>
      </c>
    </row>
    <row r="4359" spans="1:3" x14ac:dyDescent="0.2">
      <c r="A4359" s="333">
        <v>39061005200</v>
      </c>
      <c r="B4359" t="s">
        <v>1349</v>
      </c>
      <c r="C4359" s="341" t="s">
        <v>5334</v>
      </c>
    </row>
    <row r="4360" spans="1:3" x14ac:dyDescent="0.2">
      <c r="A4360" s="333">
        <v>39061005301</v>
      </c>
      <c r="B4360" t="s">
        <v>1350</v>
      </c>
      <c r="C4360" s="341" t="s">
        <v>5334</v>
      </c>
    </row>
    <row r="4361" spans="1:3" x14ac:dyDescent="0.2">
      <c r="A4361" s="333">
        <v>39061005302</v>
      </c>
      <c r="B4361" t="s">
        <v>1351</v>
      </c>
      <c r="C4361" s="341" t="s">
        <v>5334</v>
      </c>
    </row>
    <row r="4362" spans="1:3" x14ac:dyDescent="0.2">
      <c r="A4362" s="333">
        <v>39061005500</v>
      </c>
      <c r="B4362" t="s">
        <v>1353</v>
      </c>
      <c r="C4362" s="341" t="s">
        <v>5334</v>
      </c>
    </row>
    <row r="4363" spans="1:3" x14ac:dyDescent="0.2">
      <c r="A4363" s="333">
        <v>39061005600</v>
      </c>
      <c r="B4363" t="s">
        <v>1354</v>
      </c>
      <c r="C4363" s="341" t="s">
        <v>5334</v>
      </c>
    </row>
    <row r="4364" spans="1:3" x14ac:dyDescent="0.2">
      <c r="A4364" s="333">
        <v>39061005701</v>
      </c>
      <c r="B4364" t="s">
        <v>1355</v>
      </c>
      <c r="C4364" s="341" t="s">
        <v>5334</v>
      </c>
    </row>
    <row r="4365" spans="1:3" x14ac:dyDescent="0.2">
      <c r="A4365" s="333">
        <v>39061005702</v>
      </c>
      <c r="B4365" t="s">
        <v>1356</v>
      </c>
      <c r="C4365" s="341" t="s">
        <v>5334</v>
      </c>
    </row>
    <row r="4366" spans="1:3" x14ac:dyDescent="0.2">
      <c r="A4366" s="333">
        <v>39061005800</v>
      </c>
      <c r="B4366" t="s">
        <v>1357</v>
      </c>
      <c r="C4366" s="341" t="s">
        <v>4330</v>
      </c>
    </row>
    <row r="4367" spans="1:3" x14ac:dyDescent="0.2">
      <c r="A4367" s="333">
        <v>39061005900</v>
      </c>
      <c r="B4367" t="s">
        <v>1358</v>
      </c>
      <c r="C4367" s="341" t="s">
        <v>5334</v>
      </c>
    </row>
    <row r="4368" spans="1:3" x14ac:dyDescent="0.2">
      <c r="A4368" s="333">
        <v>39061006000</v>
      </c>
      <c r="B4368" t="s">
        <v>1359</v>
      </c>
      <c r="C4368" s="341" t="s">
        <v>5334</v>
      </c>
    </row>
    <row r="4369" spans="1:3" x14ac:dyDescent="0.2">
      <c r="A4369" s="333">
        <v>39061006100</v>
      </c>
      <c r="B4369" t="s">
        <v>1360</v>
      </c>
      <c r="C4369" s="341" t="s">
        <v>4330</v>
      </c>
    </row>
    <row r="4370" spans="1:3" x14ac:dyDescent="0.2">
      <c r="A4370" s="333">
        <v>39061006300</v>
      </c>
      <c r="B4370" t="s">
        <v>1361</v>
      </c>
      <c r="C4370" s="341" t="s">
        <v>4330</v>
      </c>
    </row>
    <row r="4371" spans="1:3" x14ac:dyDescent="0.2">
      <c r="A4371" s="333">
        <v>39061006400</v>
      </c>
      <c r="B4371" t="s">
        <v>1362</v>
      </c>
      <c r="C4371" s="341" t="s">
        <v>4330</v>
      </c>
    </row>
    <row r="4372" spans="1:3" x14ac:dyDescent="0.2">
      <c r="A4372" s="333">
        <v>39061006501</v>
      </c>
      <c r="B4372" t="s">
        <v>5584</v>
      </c>
      <c r="C4372" s="341" t="s">
        <v>5334</v>
      </c>
    </row>
    <row r="4373" spans="1:3" x14ac:dyDescent="0.2">
      <c r="A4373" s="333">
        <v>39061006502</v>
      </c>
      <c r="B4373" t="s">
        <v>5585</v>
      </c>
      <c r="C4373" s="341" t="s">
        <v>5334</v>
      </c>
    </row>
    <row r="4374" spans="1:3" x14ac:dyDescent="0.2">
      <c r="A4374" s="333">
        <v>39061006600</v>
      </c>
      <c r="B4374" t="s">
        <v>1364</v>
      </c>
      <c r="C4374" s="341" t="s">
        <v>4330</v>
      </c>
    </row>
    <row r="4375" spans="1:3" x14ac:dyDescent="0.2">
      <c r="A4375" s="333">
        <v>39061006800</v>
      </c>
      <c r="B4375" t="s">
        <v>1365</v>
      </c>
      <c r="C4375" s="341" t="s">
        <v>4330</v>
      </c>
    </row>
    <row r="4376" spans="1:3" x14ac:dyDescent="0.2">
      <c r="A4376" s="333">
        <v>39061006900</v>
      </c>
      <c r="B4376" t="s">
        <v>1366</v>
      </c>
      <c r="C4376" s="341" t="s">
        <v>4330</v>
      </c>
    </row>
    <row r="4377" spans="1:3" x14ac:dyDescent="0.2">
      <c r="A4377" s="333">
        <v>39061007000</v>
      </c>
      <c r="B4377" t="s">
        <v>1367</v>
      </c>
      <c r="C4377" s="341" t="s">
        <v>5334</v>
      </c>
    </row>
    <row r="4378" spans="1:3" x14ac:dyDescent="0.2">
      <c r="A4378" s="333">
        <v>39061007100</v>
      </c>
      <c r="B4378" t="s">
        <v>1368</v>
      </c>
      <c r="C4378" s="341" t="s">
        <v>5334</v>
      </c>
    </row>
    <row r="4379" spans="1:3" x14ac:dyDescent="0.2">
      <c r="A4379" s="333">
        <v>39061007200</v>
      </c>
      <c r="B4379" t="s">
        <v>1369</v>
      </c>
      <c r="C4379" s="341" t="s">
        <v>5334</v>
      </c>
    </row>
    <row r="4380" spans="1:3" x14ac:dyDescent="0.2">
      <c r="A4380" s="333">
        <v>39061007300</v>
      </c>
      <c r="B4380" t="s">
        <v>1370</v>
      </c>
      <c r="C4380" s="341" t="s">
        <v>5334</v>
      </c>
    </row>
    <row r="4381" spans="1:3" x14ac:dyDescent="0.2">
      <c r="A4381" s="333">
        <v>39061007400</v>
      </c>
      <c r="B4381" t="s">
        <v>1371</v>
      </c>
      <c r="C4381" s="341" t="s">
        <v>5334</v>
      </c>
    </row>
    <row r="4382" spans="1:3" x14ac:dyDescent="0.2">
      <c r="A4382" s="333">
        <v>39061007500</v>
      </c>
      <c r="B4382" t="s">
        <v>1372</v>
      </c>
      <c r="C4382" s="341" t="s">
        <v>5334</v>
      </c>
    </row>
    <row r="4383" spans="1:3" x14ac:dyDescent="0.2">
      <c r="A4383" s="333">
        <v>39061007700</v>
      </c>
      <c r="B4383" t="s">
        <v>1373</v>
      </c>
      <c r="C4383" s="341" t="s">
        <v>4330</v>
      </c>
    </row>
    <row r="4384" spans="1:3" x14ac:dyDescent="0.2">
      <c r="A4384" s="333">
        <v>39061008000</v>
      </c>
      <c r="B4384" t="s">
        <v>1376</v>
      </c>
      <c r="C4384" s="341" t="s">
        <v>4330</v>
      </c>
    </row>
    <row r="4385" spans="1:3" x14ac:dyDescent="0.2">
      <c r="A4385" s="333">
        <v>39061008100</v>
      </c>
      <c r="B4385" t="s">
        <v>1377</v>
      </c>
      <c r="C4385" s="341" t="s">
        <v>4330</v>
      </c>
    </row>
    <row r="4386" spans="1:3" x14ac:dyDescent="0.2">
      <c r="A4386" s="333">
        <v>39061008201</v>
      </c>
      <c r="B4386" t="s">
        <v>1378</v>
      </c>
      <c r="C4386" s="341" t="s">
        <v>5334</v>
      </c>
    </row>
    <row r="4387" spans="1:3" x14ac:dyDescent="0.2">
      <c r="A4387" s="333">
        <v>39061008202</v>
      </c>
      <c r="B4387" t="s">
        <v>1379</v>
      </c>
      <c r="C4387" s="341" t="s">
        <v>5334</v>
      </c>
    </row>
    <row r="4388" spans="1:3" x14ac:dyDescent="0.2">
      <c r="A4388" s="333">
        <v>39061008300</v>
      </c>
      <c r="B4388" t="s">
        <v>1380</v>
      </c>
      <c r="C4388" s="341" t="s">
        <v>4330</v>
      </c>
    </row>
    <row r="4389" spans="1:3" x14ac:dyDescent="0.2">
      <c r="A4389" s="333">
        <v>39061008400</v>
      </c>
      <c r="B4389" t="s">
        <v>1381</v>
      </c>
      <c r="C4389" s="341" t="s">
        <v>4330</v>
      </c>
    </row>
    <row r="4390" spans="1:3" x14ac:dyDescent="0.2">
      <c r="A4390" s="333">
        <v>39061008501</v>
      </c>
      <c r="B4390" t="s">
        <v>1382</v>
      </c>
      <c r="C4390" s="341" t="s">
        <v>4330</v>
      </c>
    </row>
    <row r="4391" spans="1:3" x14ac:dyDescent="0.2">
      <c r="A4391" s="333">
        <v>39061008502</v>
      </c>
      <c r="B4391" t="s">
        <v>1383</v>
      </c>
      <c r="C4391" s="341" t="s">
        <v>4330</v>
      </c>
    </row>
    <row r="4392" spans="1:3" x14ac:dyDescent="0.2">
      <c r="A4392" s="333">
        <v>39061008601</v>
      </c>
      <c r="B4392" t="s">
        <v>1384</v>
      </c>
      <c r="C4392" s="341" t="s">
        <v>4330</v>
      </c>
    </row>
    <row r="4393" spans="1:3" x14ac:dyDescent="0.2">
      <c r="A4393" s="333">
        <v>39061008800</v>
      </c>
      <c r="B4393" t="s">
        <v>1385</v>
      </c>
      <c r="C4393" s="341" t="s">
        <v>4330</v>
      </c>
    </row>
    <row r="4394" spans="1:3" x14ac:dyDescent="0.2">
      <c r="A4394" s="333">
        <v>39061009200</v>
      </c>
      <c r="B4394" t="s">
        <v>1386</v>
      </c>
      <c r="C4394" s="341" t="s">
        <v>4330</v>
      </c>
    </row>
    <row r="4395" spans="1:3" x14ac:dyDescent="0.2">
      <c r="A4395" s="333">
        <v>39061009300</v>
      </c>
      <c r="B4395" t="s">
        <v>1387</v>
      </c>
      <c r="C4395" s="341" t="s">
        <v>4330</v>
      </c>
    </row>
    <row r="4396" spans="1:3" x14ac:dyDescent="0.2">
      <c r="A4396" s="333">
        <v>39061009400</v>
      </c>
      <c r="B4396" t="s">
        <v>1388</v>
      </c>
      <c r="C4396" s="341" t="s">
        <v>4330</v>
      </c>
    </row>
    <row r="4397" spans="1:3" x14ac:dyDescent="0.2">
      <c r="A4397" s="333">
        <v>39061009500</v>
      </c>
      <c r="B4397" t="s">
        <v>1389</v>
      </c>
      <c r="C4397" s="341" t="s">
        <v>4330</v>
      </c>
    </row>
    <row r="4398" spans="1:3" x14ac:dyDescent="0.2">
      <c r="A4398" s="333">
        <v>39061009600</v>
      </c>
      <c r="B4398" t="s">
        <v>1390</v>
      </c>
      <c r="C4398" s="341" t="s">
        <v>4330</v>
      </c>
    </row>
    <row r="4399" spans="1:3" x14ac:dyDescent="0.2">
      <c r="A4399" s="333">
        <v>39061009700</v>
      </c>
      <c r="B4399" t="s">
        <v>1391</v>
      </c>
      <c r="C4399" s="341" t="s">
        <v>4330</v>
      </c>
    </row>
    <row r="4400" spans="1:3" x14ac:dyDescent="0.2">
      <c r="A4400" s="333">
        <v>39061009800</v>
      </c>
      <c r="B4400" t="s">
        <v>1392</v>
      </c>
      <c r="C4400" s="341" t="s">
        <v>4330</v>
      </c>
    </row>
    <row r="4401" spans="1:3" x14ac:dyDescent="0.2">
      <c r="A4401" s="333">
        <v>39061009901</v>
      </c>
      <c r="B4401" t="s">
        <v>1393</v>
      </c>
      <c r="C4401" s="341" t="s">
        <v>5334</v>
      </c>
    </row>
    <row r="4402" spans="1:3" x14ac:dyDescent="0.2">
      <c r="A4402" s="333">
        <v>39061009902</v>
      </c>
      <c r="B4402" t="s">
        <v>1394</v>
      </c>
      <c r="C4402" s="341" t="s">
        <v>4330</v>
      </c>
    </row>
    <row r="4403" spans="1:3" x14ac:dyDescent="0.2">
      <c r="A4403" s="333">
        <v>39061010002</v>
      </c>
      <c r="B4403" t="s">
        <v>1395</v>
      </c>
      <c r="C4403" s="341" t="s">
        <v>4330</v>
      </c>
    </row>
    <row r="4404" spans="1:3" x14ac:dyDescent="0.2">
      <c r="A4404" s="333">
        <v>39061010003</v>
      </c>
      <c r="B4404" t="s">
        <v>1396</v>
      </c>
      <c r="C4404" s="341" t="s">
        <v>4330</v>
      </c>
    </row>
    <row r="4405" spans="1:3" x14ac:dyDescent="0.2">
      <c r="A4405" s="333">
        <v>39061010004</v>
      </c>
      <c r="B4405" t="s">
        <v>1397</v>
      </c>
      <c r="C4405" s="341" t="s">
        <v>4330</v>
      </c>
    </row>
    <row r="4406" spans="1:3" x14ac:dyDescent="0.2">
      <c r="A4406" s="333">
        <v>39061010005</v>
      </c>
      <c r="B4406" t="s">
        <v>1398</v>
      </c>
      <c r="C4406" s="341" t="s">
        <v>5334</v>
      </c>
    </row>
    <row r="4407" spans="1:3" x14ac:dyDescent="0.2">
      <c r="A4407" s="333">
        <v>39061010100</v>
      </c>
      <c r="B4407" t="s">
        <v>1399</v>
      </c>
      <c r="C4407" s="341" t="s">
        <v>5334</v>
      </c>
    </row>
    <row r="4408" spans="1:3" x14ac:dyDescent="0.2">
      <c r="A4408" s="333">
        <v>39061010201</v>
      </c>
      <c r="B4408" t="s">
        <v>1400</v>
      </c>
      <c r="C4408" s="341" t="s">
        <v>4330</v>
      </c>
    </row>
    <row r="4409" spans="1:3" x14ac:dyDescent="0.2">
      <c r="A4409" s="333">
        <v>39061010202</v>
      </c>
      <c r="B4409" t="s">
        <v>1401</v>
      </c>
      <c r="C4409" s="341" t="s">
        <v>5334</v>
      </c>
    </row>
    <row r="4410" spans="1:3" x14ac:dyDescent="0.2">
      <c r="A4410" s="333">
        <v>39061010300</v>
      </c>
      <c r="B4410" t="s">
        <v>1402</v>
      </c>
      <c r="C4410" s="341" t="s">
        <v>4330</v>
      </c>
    </row>
    <row r="4411" spans="1:3" x14ac:dyDescent="0.2">
      <c r="A4411" s="333">
        <v>39061010400</v>
      </c>
      <c r="B4411" t="s">
        <v>1403</v>
      </c>
      <c r="C4411" s="341" t="s">
        <v>4330</v>
      </c>
    </row>
    <row r="4412" spans="1:3" x14ac:dyDescent="0.2">
      <c r="A4412" s="333">
        <v>39061010500</v>
      </c>
      <c r="B4412" t="s">
        <v>1404</v>
      </c>
      <c r="C4412" s="341" t="s">
        <v>5334</v>
      </c>
    </row>
    <row r="4413" spans="1:3" x14ac:dyDescent="0.2">
      <c r="A4413" s="333">
        <v>39061010600</v>
      </c>
      <c r="B4413" t="s">
        <v>1405</v>
      </c>
      <c r="C4413" s="341" t="s">
        <v>5334</v>
      </c>
    </row>
    <row r="4414" spans="1:3" x14ac:dyDescent="0.2">
      <c r="A4414" s="333">
        <v>39061010700</v>
      </c>
      <c r="B4414" t="s">
        <v>1406</v>
      </c>
      <c r="C4414" s="341" t="s">
        <v>5334</v>
      </c>
    </row>
    <row r="4415" spans="1:3" x14ac:dyDescent="0.2">
      <c r="A4415" s="333">
        <v>39061010900</v>
      </c>
      <c r="B4415" t="s">
        <v>1408</v>
      </c>
      <c r="C4415" s="341" t="s">
        <v>4330</v>
      </c>
    </row>
    <row r="4416" spans="1:3" x14ac:dyDescent="0.2">
      <c r="A4416" s="333">
        <v>39061011000</v>
      </c>
      <c r="B4416" t="s">
        <v>1409</v>
      </c>
      <c r="C4416" s="341" t="s">
        <v>4330</v>
      </c>
    </row>
    <row r="4417" spans="1:3" x14ac:dyDescent="0.2">
      <c r="A4417" s="333">
        <v>39061011100</v>
      </c>
      <c r="B4417" t="s">
        <v>1410</v>
      </c>
      <c r="C4417" s="341" t="s">
        <v>5334</v>
      </c>
    </row>
    <row r="4418" spans="1:3" x14ac:dyDescent="0.2">
      <c r="A4418" s="333">
        <v>39061020401</v>
      </c>
      <c r="B4418" t="s">
        <v>1411</v>
      </c>
      <c r="C4418" s="341" t="s">
        <v>5334</v>
      </c>
    </row>
    <row r="4419" spans="1:3" x14ac:dyDescent="0.2">
      <c r="A4419" s="333">
        <v>39061020403</v>
      </c>
      <c r="B4419" t="s">
        <v>1412</v>
      </c>
      <c r="C4419" s="341" t="s">
        <v>5334</v>
      </c>
    </row>
    <row r="4420" spans="1:3" x14ac:dyDescent="0.2">
      <c r="A4420" s="333">
        <v>39061020404</v>
      </c>
      <c r="B4420" t="s">
        <v>1413</v>
      </c>
      <c r="C4420" s="341" t="s">
        <v>5334</v>
      </c>
    </row>
    <row r="4421" spans="1:3" x14ac:dyDescent="0.2">
      <c r="A4421" s="333">
        <v>39061020501</v>
      </c>
      <c r="B4421" t="s">
        <v>1414</v>
      </c>
      <c r="C4421" s="341" t="s">
        <v>5334</v>
      </c>
    </row>
    <row r="4422" spans="1:3" x14ac:dyDescent="0.2">
      <c r="A4422" s="333">
        <v>39061020502</v>
      </c>
      <c r="B4422" t="s">
        <v>1415</v>
      </c>
      <c r="C4422" s="341" t="s">
        <v>5334</v>
      </c>
    </row>
    <row r="4423" spans="1:3" x14ac:dyDescent="0.2">
      <c r="A4423" s="333">
        <v>39061020504</v>
      </c>
      <c r="B4423" t="s">
        <v>1416</v>
      </c>
      <c r="C4423" s="341" t="s">
        <v>5334</v>
      </c>
    </row>
    <row r="4424" spans="1:3" x14ac:dyDescent="0.2">
      <c r="A4424" s="333">
        <v>39061020505</v>
      </c>
      <c r="B4424" t="s">
        <v>1417</v>
      </c>
      <c r="C4424" s="341" t="s">
        <v>5334</v>
      </c>
    </row>
    <row r="4425" spans="1:3" x14ac:dyDescent="0.2">
      <c r="A4425" s="333">
        <v>39061020601</v>
      </c>
      <c r="B4425" t="s">
        <v>1418</v>
      </c>
      <c r="C4425" s="341" t="s">
        <v>5334</v>
      </c>
    </row>
    <row r="4426" spans="1:3" x14ac:dyDescent="0.2">
      <c r="A4426" s="333">
        <v>39061020603</v>
      </c>
      <c r="B4426" t="s">
        <v>5586</v>
      </c>
      <c r="C4426" s="341" t="s">
        <v>5334</v>
      </c>
    </row>
    <row r="4427" spans="1:3" x14ac:dyDescent="0.2">
      <c r="A4427" s="333">
        <v>39061020604</v>
      </c>
      <c r="B4427" t="s">
        <v>5587</v>
      </c>
      <c r="C4427" s="341" t="s">
        <v>5334</v>
      </c>
    </row>
    <row r="4428" spans="1:3" x14ac:dyDescent="0.2">
      <c r="A4428" s="333">
        <v>39061020701</v>
      </c>
      <c r="B4428" t="s">
        <v>1420</v>
      </c>
      <c r="C4428" s="341" t="s">
        <v>5334</v>
      </c>
    </row>
    <row r="4429" spans="1:3" x14ac:dyDescent="0.2">
      <c r="A4429" s="333">
        <v>39061020705</v>
      </c>
      <c r="B4429" t="s">
        <v>1421</v>
      </c>
      <c r="C4429" s="341" t="s">
        <v>5334</v>
      </c>
    </row>
    <row r="4430" spans="1:3" x14ac:dyDescent="0.2">
      <c r="A4430" s="333">
        <v>39061020707</v>
      </c>
      <c r="B4430" t="s">
        <v>1422</v>
      </c>
      <c r="C4430" s="341" t="s">
        <v>5334</v>
      </c>
    </row>
    <row r="4431" spans="1:3" x14ac:dyDescent="0.2">
      <c r="A4431" s="333">
        <v>39061020741</v>
      </c>
      <c r="B4431" t="s">
        <v>1423</v>
      </c>
      <c r="C4431" s="341" t="s">
        <v>5334</v>
      </c>
    </row>
    <row r="4432" spans="1:3" x14ac:dyDescent="0.2">
      <c r="A4432" s="333">
        <v>39061020742</v>
      </c>
      <c r="B4432" t="s">
        <v>1424</v>
      </c>
      <c r="C4432" s="341" t="s">
        <v>5334</v>
      </c>
    </row>
    <row r="4433" spans="1:3" x14ac:dyDescent="0.2">
      <c r="A4433" s="333">
        <v>39061020762</v>
      </c>
      <c r="B4433" t="s">
        <v>1426</v>
      </c>
      <c r="C4433" s="341" t="s">
        <v>5334</v>
      </c>
    </row>
    <row r="4434" spans="1:3" x14ac:dyDescent="0.2">
      <c r="A4434" s="333">
        <v>39061020763</v>
      </c>
      <c r="B4434" t="s">
        <v>5588</v>
      </c>
      <c r="C4434" s="341" t="s">
        <v>5334</v>
      </c>
    </row>
    <row r="4435" spans="1:3" x14ac:dyDescent="0.2">
      <c r="A4435" s="333">
        <v>39061020764</v>
      </c>
      <c r="B4435" t="s">
        <v>5589</v>
      </c>
      <c r="C4435" s="341" t="s">
        <v>5334</v>
      </c>
    </row>
    <row r="4436" spans="1:3" x14ac:dyDescent="0.2">
      <c r="A4436" s="333">
        <v>39061020802</v>
      </c>
      <c r="B4436" t="s">
        <v>1427</v>
      </c>
      <c r="C4436" s="341" t="s">
        <v>5334</v>
      </c>
    </row>
    <row r="4437" spans="1:3" x14ac:dyDescent="0.2">
      <c r="A4437" s="333">
        <v>39061020811</v>
      </c>
      <c r="B4437" t="s">
        <v>1428</v>
      </c>
      <c r="C4437" s="341" t="s">
        <v>5334</v>
      </c>
    </row>
    <row r="4438" spans="1:3" x14ac:dyDescent="0.2">
      <c r="A4438" s="333">
        <v>39061020812</v>
      </c>
      <c r="B4438" t="s">
        <v>1429</v>
      </c>
      <c r="C4438" s="341" t="s">
        <v>5334</v>
      </c>
    </row>
    <row r="4439" spans="1:3" x14ac:dyDescent="0.2">
      <c r="A4439" s="333">
        <v>39061020901</v>
      </c>
      <c r="B4439" t="s">
        <v>1430</v>
      </c>
      <c r="C4439" s="341" t="s">
        <v>5334</v>
      </c>
    </row>
    <row r="4440" spans="1:3" x14ac:dyDescent="0.2">
      <c r="A4440" s="333">
        <v>39061020902</v>
      </c>
      <c r="B4440" t="s">
        <v>1431</v>
      </c>
      <c r="C4440" s="341" t="s">
        <v>5334</v>
      </c>
    </row>
    <row r="4441" spans="1:3" x14ac:dyDescent="0.2">
      <c r="A4441" s="333">
        <v>39061021001</v>
      </c>
      <c r="B4441" t="s">
        <v>1432</v>
      </c>
      <c r="C4441" s="341" t="s">
        <v>5334</v>
      </c>
    </row>
    <row r="4442" spans="1:3" x14ac:dyDescent="0.2">
      <c r="A4442" s="333">
        <v>39061021002</v>
      </c>
      <c r="B4442" t="s">
        <v>1433</v>
      </c>
      <c r="C4442" s="341" t="s">
        <v>5334</v>
      </c>
    </row>
    <row r="4443" spans="1:3" x14ac:dyDescent="0.2">
      <c r="A4443" s="333">
        <v>39061021003</v>
      </c>
      <c r="B4443" t="s">
        <v>1434</v>
      </c>
      <c r="C4443" s="341" t="s">
        <v>5334</v>
      </c>
    </row>
    <row r="4444" spans="1:3" x14ac:dyDescent="0.2">
      <c r="A4444" s="333">
        <v>39061021101</v>
      </c>
      <c r="B4444" t="s">
        <v>1435</v>
      </c>
      <c r="C4444" s="341" t="s">
        <v>5334</v>
      </c>
    </row>
    <row r="4445" spans="1:3" x14ac:dyDescent="0.2">
      <c r="A4445" s="333">
        <v>39061021102</v>
      </c>
      <c r="B4445" t="s">
        <v>1436</v>
      </c>
      <c r="C4445" s="341" t="s">
        <v>5334</v>
      </c>
    </row>
    <row r="4446" spans="1:3" x14ac:dyDescent="0.2">
      <c r="A4446" s="333">
        <v>39061021201</v>
      </c>
      <c r="B4446" t="s">
        <v>1437</v>
      </c>
      <c r="C4446" s="341" t="s">
        <v>5334</v>
      </c>
    </row>
    <row r="4447" spans="1:3" x14ac:dyDescent="0.2">
      <c r="A4447" s="333">
        <v>39061021202</v>
      </c>
      <c r="B4447" t="s">
        <v>1438</v>
      </c>
      <c r="C4447" s="341" t="s">
        <v>5334</v>
      </c>
    </row>
    <row r="4448" spans="1:3" x14ac:dyDescent="0.2">
      <c r="A4448" s="333">
        <v>39061021302</v>
      </c>
      <c r="B4448" t="s">
        <v>1439</v>
      </c>
      <c r="C4448" s="341" t="s">
        <v>5334</v>
      </c>
    </row>
    <row r="4449" spans="1:3" x14ac:dyDescent="0.2">
      <c r="A4449" s="333">
        <v>39061021303</v>
      </c>
      <c r="B4449" t="s">
        <v>1440</v>
      </c>
      <c r="C4449" s="341" t="s">
        <v>5334</v>
      </c>
    </row>
    <row r="4450" spans="1:3" x14ac:dyDescent="0.2">
      <c r="A4450" s="333">
        <v>39061021304</v>
      </c>
      <c r="B4450" t="s">
        <v>1441</v>
      </c>
      <c r="C4450" s="341" t="s">
        <v>5334</v>
      </c>
    </row>
    <row r="4451" spans="1:3" x14ac:dyDescent="0.2">
      <c r="A4451" s="333">
        <v>39061021401</v>
      </c>
      <c r="B4451" t="s">
        <v>1442</v>
      </c>
      <c r="C4451" s="341" t="s">
        <v>5334</v>
      </c>
    </row>
    <row r="4452" spans="1:3" x14ac:dyDescent="0.2">
      <c r="A4452" s="333">
        <v>39061021421</v>
      </c>
      <c r="B4452" t="s">
        <v>1443</v>
      </c>
      <c r="C4452" s="341" t="s">
        <v>5334</v>
      </c>
    </row>
    <row r="4453" spans="1:3" x14ac:dyDescent="0.2">
      <c r="A4453" s="333">
        <v>39061021422</v>
      </c>
      <c r="B4453" t="s">
        <v>1444</v>
      </c>
      <c r="C4453" s="341" t="s">
        <v>5334</v>
      </c>
    </row>
    <row r="4454" spans="1:3" x14ac:dyDescent="0.2">
      <c r="A4454" s="333">
        <v>39061021501</v>
      </c>
      <c r="B4454" t="s">
        <v>1445</v>
      </c>
      <c r="C4454" s="341" t="s">
        <v>5334</v>
      </c>
    </row>
    <row r="4455" spans="1:3" x14ac:dyDescent="0.2">
      <c r="A4455" s="333">
        <v>39061021504</v>
      </c>
      <c r="B4455" t="s">
        <v>1446</v>
      </c>
      <c r="C4455" s="341" t="s">
        <v>5334</v>
      </c>
    </row>
    <row r="4456" spans="1:3" x14ac:dyDescent="0.2">
      <c r="A4456" s="333">
        <v>39061021505</v>
      </c>
      <c r="B4456" t="s">
        <v>1447</v>
      </c>
      <c r="C4456" s="341" t="s">
        <v>5334</v>
      </c>
    </row>
    <row r="4457" spans="1:3" x14ac:dyDescent="0.2">
      <c r="A4457" s="333">
        <v>39061021506</v>
      </c>
      <c r="B4457" t="s">
        <v>1448</v>
      </c>
      <c r="C4457" s="341" t="s">
        <v>5334</v>
      </c>
    </row>
    <row r="4458" spans="1:3" x14ac:dyDescent="0.2">
      <c r="A4458" s="333">
        <v>39061021508</v>
      </c>
      <c r="B4458" t="s">
        <v>1449</v>
      </c>
      <c r="C4458" s="341" t="s">
        <v>5334</v>
      </c>
    </row>
    <row r="4459" spans="1:3" x14ac:dyDescent="0.2">
      <c r="A4459" s="333">
        <v>39061021509</v>
      </c>
      <c r="B4459" t="s">
        <v>1450</v>
      </c>
      <c r="C4459" s="341" t="s">
        <v>5334</v>
      </c>
    </row>
    <row r="4460" spans="1:3" x14ac:dyDescent="0.2">
      <c r="A4460" s="333">
        <v>39061021571</v>
      </c>
      <c r="B4460" t="s">
        <v>1451</v>
      </c>
      <c r="C4460" s="341" t="s">
        <v>5334</v>
      </c>
    </row>
    <row r="4461" spans="1:3" x14ac:dyDescent="0.2">
      <c r="A4461" s="333">
        <v>39061021572</v>
      </c>
      <c r="B4461" t="s">
        <v>1452</v>
      </c>
      <c r="C4461" s="341" t="s">
        <v>5334</v>
      </c>
    </row>
    <row r="4462" spans="1:3" x14ac:dyDescent="0.2">
      <c r="A4462" s="333">
        <v>39061021602</v>
      </c>
      <c r="B4462" t="s">
        <v>1453</v>
      </c>
      <c r="C4462" s="341" t="s">
        <v>5334</v>
      </c>
    </row>
    <row r="4463" spans="1:3" x14ac:dyDescent="0.2">
      <c r="A4463" s="333">
        <v>39061021603</v>
      </c>
      <c r="B4463" t="s">
        <v>1454</v>
      </c>
      <c r="C4463" s="341" t="s">
        <v>5334</v>
      </c>
    </row>
    <row r="4464" spans="1:3" x14ac:dyDescent="0.2">
      <c r="A4464" s="333">
        <v>39061021604</v>
      </c>
      <c r="B4464" t="s">
        <v>1455</v>
      </c>
      <c r="C4464" s="341" t="s">
        <v>4330</v>
      </c>
    </row>
    <row r="4465" spans="1:3" x14ac:dyDescent="0.2">
      <c r="A4465" s="333">
        <v>39061021701</v>
      </c>
      <c r="B4465" t="s">
        <v>1456</v>
      </c>
      <c r="C4465" s="341" t="s">
        <v>4330</v>
      </c>
    </row>
    <row r="4466" spans="1:3" x14ac:dyDescent="0.2">
      <c r="A4466" s="333">
        <v>39061021702</v>
      </c>
      <c r="B4466" t="s">
        <v>1457</v>
      </c>
      <c r="C4466" s="341" t="s">
        <v>4330</v>
      </c>
    </row>
    <row r="4467" spans="1:3" x14ac:dyDescent="0.2">
      <c r="A4467" s="333">
        <v>39061021801</v>
      </c>
      <c r="B4467" t="s">
        <v>1458</v>
      </c>
      <c r="C4467" s="341" t="s">
        <v>5334</v>
      </c>
    </row>
    <row r="4468" spans="1:3" x14ac:dyDescent="0.2">
      <c r="A4468" s="333">
        <v>39061021802</v>
      </c>
      <c r="B4468" t="s">
        <v>1459</v>
      </c>
      <c r="C4468" s="341" t="s">
        <v>5334</v>
      </c>
    </row>
    <row r="4469" spans="1:3" x14ac:dyDescent="0.2">
      <c r="A4469" s="333">
        <v>39061021900</v>
      </c>
      <c r="B4469" t="s">
        <v>1460</v>
      </c>
      <c r="C4469" s="341" t="s">
        <v>4330</v>
      </c>
    </row>
    <row r="4470" spans="1:3" x14ac:dyDescent="0.2">
      <c r="A4470" s="333">
        <v>39061022000</v>
      </c>
      <c r="B4470" t="s">
        <v>1461</v>
      </c>
      <c r="C4470" s="341" t="s">
        <v>5334</v>
      </c>
    </row>
    <row r="4471" spans="1:3" x14ac:dyDescent="0.2">
      <c r="A4471" s="333">
        <v>39061022101</v>
      </c>
      <c r="B4471" t="s">
        <v>1462</v>
      </c>
      <c r="C4471" s="341" t="s">
        <v>5334</v>
      </c>
    </row>
    <row r="4472" spans="1:3" x14ac:dyDescent="0.2">
      <c r="A4472" s="333">
        <v>39061022102</v>
      </c>
      <c r="B4472" t="s">
        <v>1463</v>
      </c>
      <c r="C4472" s="341" t="s">
        <v>5334</v>
      </c>
    </row>
    <row r="4473" spans="1:3" x14ac:dyDescent="0.2">
      <c r="A4473" s="333">
        <v>39061022200</v>
      </c>
      <c r="B4473" t="s">
        <v>1464</v>
      </c>
      <c r="C4473" s="341" t="s">
        <v>5334</v>
      </c>
    </row>
    <row r="4474" spans="1:3" x14ac:dyDescent="0.2">
      <c r="A4474" s="333">
        <v>39061022301</v>
      </c>
      <c r="B4474" t="s">
        <v>1465</v>
      </c>
      <c r="C4474" s="341" t="s">
        <v>4330</v>
      </c>
    </row>
    <row r="4475" spans="1:3" x14ac:dyDescent="0.2">
      <c r="A4475" s="333">
        <v>39061022302</v>
      </c>
      <c r="B4475" t="s">
        <v>1466</v>
      </c>
      <c r="C4475" s="341" t="s">
        <v>5334</v>
      </c>
    </row>
    <row r="4476" spans="1:3" x14ac:dyDescent="0.2">
      <c r="A4476" s="333">
        <v>39061022400</v>
      </c>
      <c r="B4476" t="s">
        <v>1467</v>
      </c>
      <c r="C4476" s="341" t="s">
        <v>5334</v>
      </c>
    </row>
    <row r="4477" spans="1:3" x14ac:dyDescent="0.2">
      <c r="A4477" s="333">
        <v>39061022500</v>
      </c>
      <c r="B4477" t="s">
        <v>1468</v>
      </c>
      <c r="C4477" s="341" t="s">
        <v>5334</v>
      </c>
    </row>
    <row r="4478" spans="1:3" x14ac:dyDescent="0.2">
      <c r="A4478" s="333">
        <v>39061022601</v>
      </c>
      <c r="B4478" t="s">
        <v>1469</v>
      </c>
      <c r="C4478" s="341" t="s">
        <v>5334</v>
      </c>
    </row>
    <row r="4479" spans="1:3" x14ac:dyDescent="0.2">
      <c r="A4479" s="333">
        <v>39061022602</v>
      </c>
      <c r="B4479" t="s">
        <v>1470</v>
      </c>
      <c r="C4479" s="341" t="s">
        <v>5334</v>
      </c>
    </row>
    <row r="4480" spans="1:3" x14ac:dyDescent="0.2">
      <c r="A4480" s="333">
        <v>39061022700</v>
      </c>
      <c r="B4480" t="s">
        <v>1471</v>
      </c>
      <c r="C4480" s="341" t="s">
        <v>4330</v>
      </c>
    </row>
    <row r="4481" spans="1:3" x14ac:dyDescent="0.2">
      <c r="A4481" s="333">
        <v>39061023001</v>
      </c>
      <c r="B4481" t="s">
        <v>1472</v>
      </c>
      <c r="C4481" s="341" t="s">
        <v>5334</v>
      </c>
    </row>
    <row r="4482" spans="1:3" x14ac:dyDescent="0.2">
      <c r="A4482" s="333">
        <v>39061023002</v>
      </c>
      <c r="B4482" t="s">
        <v>1473</v>
      </c>
      <c r="C4482" s="341" t="s">
        <v>5334</v>
      </c>
    </row>
    <row r="4483" spans="1:3" x14ac:dyDescent="0.2">
      <c r="A4483" s="333">
        <v>39061023100</v>
      </c>
      <c r="B4483" t="s">
        <v>1474</v>
      </c>
      <c r="C4483" s="341" t="s">
        <v>5334</v>
      </c>
    </row>
    <row r="4484" spans="1:3" x14ac:dyDescent="0.2">
      <c r="A4484" s="333">
        <v>39061023201</v>
      </c>
      <c r="B4484" t="s">
        <v>1475</v>
      </c>
      <c r="C4484" s="341" t="s">
        <v>4330</v>
      </c>
    </row>
    <row r="4485" spans="1:3" x14ac:dyDescent="0.2">
      <c r="A4485" s="333">
        <v>39061023210</v>
      </c>
      <c r="B4485" t="s">
        <v>1476</v>
      </c>
      <c r="C4485" s="341" t="s">
        <v>5334</v>
      </c>
    </row>
    <row r="4486" spans="1:3" x14ac:dyDescent="0.2">
      <c r="A4486" s="333">
        <v>39061023222</v>
      </c>
      <c r="B4486" t="s">
        <v>1477</v>
      </c>
      <c r="C4486" s="341" t="s">
        <v>5334</v>
      </c>
    </row>
    <row r="4487" spans="1:3" x14ac:dyDescent="0.2">
      <c r="A4487" s="333">
        <v>39061023300</v>
      </c>
      <c r="B4487" t="s">
        <v>1478</v>
      </c>
      <c r="C4487" s="341" t="s">
        <v>5334</v>
      </c>
    </row>
    <row r="4488" spans="1:3" x14ac:dyDescent="0.2">
      <c r="A4488" s="333">
        <v>39061023400</v>
      </c>
      <c r="B4488" t="s">
        <v>1479</v>
      </c>
      <c r="C4488" s="341" t="s">
        <v>5334</v>
      </c>
    </row>
    <row r="4489" spans="1:3" x14ac:dyDescent="0.2">
      <c r="A4489" s="333">
        <v>39061023501</v>
      </c>
      <c r="B4489" t="s">
        <v>1480</v>
      </c>
      <c r="C4489" s="341" t="s">
        <v>5334</v>
      </c>
    </row>
    <row r="4490" spans="1:3" x14ac:dyDescent="0.2">
      <c r="A4490" s="333">
        <v>39061023521</v>
      </c>
      <c r="B4490" t="s">
        <v>1481</v>
      </c>
      <c r="C4490" s="341" t="s">
        <v>5334</v>
      </c>
    </row>
    <row r="4491" spans="1:3" x14ac:dyDescent="0.2">
      <c r="A4491" s="333">
        <v>39061023522</v>
      </c>
      <c r="B4491" t="s">
        <v>1482</v>
      </c>
      <c r="C4491" s="341" t="s">
        <v>5334</v>
      </c>
    </row>
    <row r="4492" spans="1:3" x14ac:dyDescent="0.2">
      <c r="A4492" s="333">
        <v>39061023600</v>
      </c>
      <c r="B4492" t="s">
        <v>1483</v>
      </c>
      <c r="C4492" s="341" t="s">
        <v>5334</v>
      </c>
    </row>
    <row r="4493" spans="1:3" x14ac:dyDescent="0.2">
      <c r="A4493" s="333">
        <v>39061023701</v>
      </c>
      <c r="B4493" t="s">
        <v>1484</v>
      </c>
      <c r="C4493" s="341" t="s">
        <v>5334</v>
      </c>
    </row>
    <row r="4494" spans="1:3" x14ac:dyDescent="0.2">
      <c r="A4494" s="333">
        <v>39061023702</v>
      </c>
      <c r="B4494" t="s">
        <v>1485</v>
      </c>
      <c r="C4494" s="341" t="s">
        <v>5334</v>
      </c>
    </row>
    <row r="4495" spans="1:3" x14ac:dyDescent="0.2">
      <c r="A4495" s="333">
        <v>39061023800</v>
      </c>
      <c r="B4495" t="s">
        <v>1486</v>
      </c>
      <c r="C4495" s="341" t="s">
        <v>5334</v>
      </c>
    </row>
    <row r="4496" spans="1:3" x14ac:dyDescent="0.2">
      <c r="A4496" s="333">
        <v>39061023901</v>
      </c>
      <c r="B4496" t="s">
        <v>1487</v>
      </c>
      <c r="C4496" s="341" t="s">
        <v>5334</v>
      </c>
    </row>
    <row r="4497" spans="1:3" x14ac:dyDescent="0.2">
      <c r="A4497" s="333">
        <v>39061023902</v>
      </c>
      <c r="B4497" t="s">
        <v>1488</v>
      </c>
      <c r="C4497" s="341" t="s">
        <v>5334</v>
      </c>
    </row>
    <row r="4498" spans="1:3" x14ac:dyDescent="0.2">
      <c r="A4498" s="333">
        <v>39061024001</v>
      </c>
      <c r="B4498" t="s">
        <v>1489</v>
      </c>
      <c r="C4498" s="341" t="s">
        <v>5334</v>
      </c>
    </row>
    <row r="4499" spans="1:3" x14ac:dyDescent="0.2">
      <c r="A4499" s="333">
        <v>39061024002</v>
      </c>
      <c r="B4499" t="s">
        <v>1490</v>
      </c>
      <c r="C4499" s="341" t="s">
        <v>5334</v>
      </c>
    </row>
    <row r="4500" spans="1:3" x14ac:dyDescent="0.2">
      <c r="A4500" s="333">
        <v>39061024100</v>
      </c>
      <c r="B4500" t="s">
        <v>1491</v>
      </c>
      <c r="C4500" s="341" t="s">
        <v>5334</v>
      </c>
    </row>
    <row r="4501" spans="1:3" x14ac:dyDescent="0.2">
      <c r="A4501" s="333">
        <v>39061024200</v>
      </c>
      <c r="B4501" t="s">
        <v>1492</v>
      </c>
      <c r="C4501" s="341" t="s">
        <v>5334</v>
      </c>
    </row>
    <row r="4502" spans="1:3" x14ac:dyDescent="0.2">
      <c r="A4502" s="333">
        <v>39061024301</v>
      </c>
      <c r="B4502" t="s">
        <v>1493</v>
      </c>
      <c r="C4502" s="341" t="s">
        <v>5334</v>
      </c>
    </row>
    <row r="4503" spans="1:3" x14ac:dyDescent="0.2">
      <c r="A4503" s="333">
        <v>39061024303</v>
      </c>
      <c r="B4503" t="s">
        <v>1494</v>
      </c>
      <c r="C4503" s="341" t="s">
        <v>5334</v>
      </c>
    </row>
    <row r="4504" spans="1:3" x14ac:dyDescent="0.2">
      <c r="A4504" s="333">
        <v>39061024322</v>
      </c>
      <c r="B4504" t="s">
        <v>1496</v>
      </c>
      <c r="C4504" s="341" t="s">
        <v>5334</v>
      </c>
    </row>
    <row r="4505" spans="1:3" x14ac:dyDescent="0.2">
      <c r="A4505" s="333">
        <v>39061024323</v>
      </c>
      <c r="B4505" t="s">
        <v>5590</v>
      </c>
      <c r="C4505" s="341" t="s">
        <v>5334</v>
      </c>
    </row>
    <row r="4506" spans="1:3" x14ac:dyDescent="0.2">
      <c r="A4506" s="333">
        <v>39061024324</v>
      </c>
      <c r="B4506" t="s">
        <v>5591</v>
      </c>
      <c r="C4506" s="341" t="s">
        <v>5334</v>
      </c>
    </row>
    <row r="4507" spans="1:3" x14ac:dyDescent="0.2">
      <c r="A4507" s="333">
        <v>39061024401</v>
      </c>
      <c r="B4507" t="s">
        <v>5592</v>
      </c>
      <c r="C4507" s="341" t="s">
        <v>5334</v>
      </c>
    </row>
    <row r="4508" spans="1:3" x14ac:dyDescent="0.2">
      <c r="A4508" s="333">
        <v>39061024402</v>
      </c>
      <c r="B4508" t="s">
        <v>5593</v>
      </c>
      <c r="C4508" s="341" t="s">
        <v>5334</v>
      </c>
    </row>
    <row r="4509" spans="1:3" x14ac:dyDescent="0.2">
      <c r="A4509" s="333">
        <v>39061024700</v>
      </c>
      <c r="B4509" t="s">
        <v>1498</v>
      </c>
      <c r="C4509" s="341" t="s">
        <v>5334</v>
      </c>
    </row>
    <row r="4510" spans="1:3" x14ac:dyDescent="0.2">
      <c r="A4510" s="333">
        <v>39061024800</v>
      </c>
      <c r="B4510" t="s">
        <v>1499</v>
      </c>
      <c r="C4510" s="341" t="s">
        <v>5334</v>
      </c>
    </row>
    <row r="4511" spans="1:3" x14ac:dyDescent="0.2">
      <c r="A4511" s="333">
        <v>39061024901</v>
      </c>
      <c r="B4511" t="s">
        <v>1500</v>
      </c>
      <c r="C4511" s="341" t="s">
        <v>5334</v>
      </c>
    </row>
    <row r="4512" spans="1:3" x14ac:dyDescent="0.2">
      <c r="A4512" s="333">
        <v>39061024903</v>
      </c>
      <c r="B4512" t="s">
        <v>5594</v>
      </c>
      <c r="C4512" s="341" t="s">
        <v>5334</v>
      </c>
    </row>
    <row r="4513" spans="1:3" x14ac:dyDescent="0.2">
      <c r="A4513" s="333">
        <v>39061024904</v>
      </c>
      <c r="B4513" t="s">
        <v>5595</v>
      </c>
      <c r="C4513" s="341" t="s">
        <v>5334</v>
      </c>
    </row>
    <row r="4514" spans="1:3" x14ac:dyDescent="0.2">
      <c r="A4514" s="333">
        <v>39061025001</v>
      </c>
      <c r="B4514" t="s">
        <v>1502</v>
      </c>
      <c r="C4514" s="341" t="s">
        <v>5334</v>
      </c>
    </row>
    <row r="4515" spans="1:3" x14ac:dyDescent="0.2">
      <c r="A4515" s="333">
        <v>39061025002</v>
      </c>
      <c r="B4515" t="s">
        <v>1503</v>
      </c>
      <c r="C4515" s="341" t="s">
        <v>5334</v>
      </c>
    </row>
    <row r="4516" spans="1:3" x14ac:dyDescent="0.2">
      <c r="A4516" s="333">
        <v>39061025101</v>
      </c>
      <c r="B4516" t="s">
        <v>1504</v>
      </c>
      <c r="C4516" s="341" t="s">
        <v>5334</v>
      </c>
    </row>
    <row r="4517" spans="1:3" x14ac:dyDescent="0.2">
      <c r="A4517" s="333">
        <v>39061025102</v>
      </c>
      <c r="B4517" t="s">
        <v>1505</v>
      </c>
      <c r="C4517" s="341" t="s">
        <v>5334</v>
      </c>
    </row>
    <row r="4518" spans="1:3" x14ac:dyDescent="0.2">
      <c r="A4518" s="333">
        <v>39061025103</v>
      </c>
      <c r="B4518" t="s">
        <v>1506</v>
      </c>
      <c r="C4518" s="341" t="s">
        <v>5334</v>
      </c>
    </row>
    <row r="4519" spans="1:3" x14ac:dyDescent="0.2">
      <c r="A4519" s="333">
        <v>39061025200</v>
      </c>
      <c r="B4519" t="s">
        <v>1508</v>
      </c>
      <c r="C4519" s="341" t="s">
        <v>4330</v>
      </c>
    </row>
    <row r="4520" spans="1:3" x14ac:dyDescent="0.2">
      <c r="A4520" s="333">
        <v>39061025300</v>
      </c>
      <c r="B4520" t="s">
        <v>1509</v>
      </c>
      <c r="C4520" s="341" t="s">
        <v>5334</v>
      </c>
    </row>
    <row r="4521" spans="1:3" x14ac:dyDescent="0.2">
      <c r="A4521" s="333">
        <v>39061025401</v>
      </c>
      <c r="B4521" t="s">
        <v>1510</v>
      </c>
      <c r="C4521" s="341" t="s">
        <v>5334</v>
      </c>
    </row>
    <row r="4522" spans="1:3" x14ac:dyDescent="0.2">
      <c r="A4522" s="333">
        <v>39061025402</v>
      </c>
      <c r="B4522" t="s">
        <v>1511</v>
      </c>
      <c r="C4522" s="341" t="s">
        <v>5334</v>
      </c>
    </row>
    <row r="4523" spans="1:3" x14ac:dyDescent="0.2">
      <c r="A4523" s="333">
        <v>39061025500</v>
      </c>
      <c r="B4523" t="s">
        <v>1512</v>
      </c>
      <c r="C4523" s="341" t="s">
        <v>4330</v>
      </c>
    </row>
    <row r="4524" spans="1:3" x14ac:dyDescent="0.2">
      <c r="A4524" s="333">
        <v>39061025600</v>
      </c>
      <c r="B4524" t="s">
        <v>1513</v>
      </c>
      <c r="C4524" s="341" t="s">
        <v>4330</v>
      </c>
    </row>
    <row r="4525" spans="1:3" x14ac:dyDescent="0.2">
      <c r="A4525" s="333">
        <v>39061025700</v>
      </c>
      <c r="B4525" t="s">
        <v>1514</v>
      </c>
      <c r="C4525" s="341" t="s">
        <v>4330</v>
      </c>
    </row>
    <row r="4526" spans="1:3" x14ac:dyDescent="0.2">
      <c r="A4526" s="333">
        <v>39061025800</v>
      </c>
      <c r="B4526" t="s">
        <v>1515</v>
      </c>
      <c r="C4526" s="341" t="s">
        <v>5334</v>
      </c>
    </row>
    <row r="4527" spans="1:3" x14ac:dyDescent="0.2">
      <c r="A4527" s="333">
        <v>39061026001</v>
      </c>
      <c r="B4527" t="s">
        <v>1516</v>
      </c>
      <c r="C4527" s="341" t="s">
        <v>5334</v>
      </c>
    </row>
    <row r="4528" spans="1:3" x14ac:dyDescent="0.2">
      <c r="A4528" s="333">
        <v>39061026002</v>
      </c>
      <c r="B4528" t="s">
        <v>1517</v>
      </c>
      <c r="C4528" s="341" t="s">
        <v>5334</v>
      </c>
    </row>
    <row r="4529" spans="1:3" x14ac:dyDescent="0.2">
      <c r="A4529" s="333">
        <v>39061026102</v>
      </c>
      <c r="B4529" t="s">
        <v>1519</v>
      </c>
      <c r="C4529" s="341" t="s">
        <v>5334</v>
      </c>
    </row>
    <row r="4530" spans="1:3" x14ac:dyDescent="0.2">
      <c r="A4530" s="333">
        <v>39061026103</v>
      </c>
      <c r="B4530" t="s">
        <v>5596</v>
      </c>
      <c r="C4530" s="341" t="s">
        <v>5334</v>
      </c>
    </row>
    <row r="4531" spans="1:3" x14ac:dyDescent="0.2">
      <c r="A4531" s="333">
        <v>39061026104</v>
      </c>
      <c r="B4531" t="s">
        <v>5597</v>
      </c>
      <c r="C4531" s="341" t="s">
        <v>5334</v>
      </c>
    </row>
    <row r="4532" spans="1:3" x14ac:dyDescent="0.2">
      <c r="A4532" s="333">
        <v>39061026200</v>
      </c>
      <c r="B4532" t="s">
        <v>1520</v>
      </c>
      <c r="C4532" s="341" t="s">
        <v>4330</v>
      </c>
    </row>
    <row r="4533" spans="1:3" x14ac:dyDescent="0.2">
      <c r="A4533" s="333">
        <v>39061026300</v>
      </c>
      <c r="B4533" t="s">
        <v>1521</v>
      </c>
      <c r="C4533" s="341" t="s">
        <v>4330</v>
      </c>
    </row>
    <row r="4534" spans="1:3" x14ac:dyDescent="0.2">
      <c r="A4534" s="333">
        <v>39061026400</v>
      </c>
      <c r="B4534" t="s">
        <v>1522</v>
      </c>
      <c r="C4534" s="341" t="s">
        <v>4330</v>
      </c>
    </row>
    <row r="4535" spans="1:3" x14ac:dyDescent="0.2">
      <c r="A4535" s="333">
        <v>39061026500</v>
      </c>
      <c r="B4535" t="s">
        <v>1523</v>
      </c>
      <c r="C4535" s="341" t="s">
        <v>5334</v>
      </c>
    </row>
    <row r="4536" spans="1:3" x14ac:dyDescent="0.2">
      <c r="A4536" s="333">
        <v>39061026600</v>
      </c>
      <c r="B4536" t="s">
        <v>1524</v>
      </c>
      <c r="C4536" s="341" t="s">
        <v>5334</v>
      </c>
    </row>
    <row r="4537" spans="1:3" x14ac:dyDescent="0.2">
      <c r="A4537" s="333">
        <v>39061026700</v>
      </c>
      <c r="B4537" t="s">
        <v>1525</v>
      </c>
      <c r="C4537" s="341" t="s">
        <v>4330</v>
      </c>
    </row>
    <row r="4538" spans="1:3" x14ac:dyDescent="0.2">
      <c r="A4538" s="333">
        <v>39061026800</v>
      </c>
      <c r="B4538" t="s">
        <v>1526</v>
      </c>
      <c r="C4538" s="341" t="s">
        <v>5334</v>
      </c>
    </row>
    <row r="4539" spans="1:3" x14ac:dyDescent="0.2">
      <c r="A4539" s="333">
        <v>39061026900</v>
      </c>
      <c r="B4539" t="s">
        <v>1527</v>
      </c>
      <c r="C4539" s="341" t="s">
        <v>4330</v>
      </c>
    </row>
    <row r="4540" spans="1:3" x14ac:dyDescent="0.2">
      <c r="A4540" s="333">
        <v>39061027000</v>
      </c>
      <c r="B4540" t="s">
        <v>1528</v>
      </c>
      <c r="C4540" s="341" t="s">
        <v>4330</v>
      </c>
    </row>
    <row r="4541" spans="1:3" x14ac:dyDescent="0.2">
      <c r="A4541" s="333">
        <v>39061027100</v>
      </c>
      <c r="B4541" t="s">
        <v>1529</v>
      </c>
      <c r="C4541" s="341" t="s">
        <v>4330</v>
      </c>
    </row>
    <row r="4542" spans="1:3" x14ac:dyDescent="0.2">
      <c r="A4542" s="333">
        <v>39061027200</v>
      </c>
      <c r="B4542" t="s">
        <v>1530</v>
      </c>
      <c r="C4542" s="341" t="s">
        <v>4330</v>
      </c>
    </row>
    <row r="4543" spans="1:3" x14ac:dyDescent="0.2">
      <c r="A4543" s="333">
        <v>39061027300</v>
      </c>
      <c r="B4543" t="s">
        <v>1531</v>
      </c>
      <c r="C4543" s="341" t="s">
        <v>5334</v>
      </c>
    </row>
    <row r="4544" spans="1:3" x14ac:dyDescent="0.2">
      <c r="A4544" s="333">
        <v>39061027400</v>
      </c>
      <c r="B4544" t="s">
        <v>1532</v>
      </c>
      <c r="C4544" s="341" t="s">
        <v>4330</v>
      </c>
    </row>
    <row r="4545" spans="1:3" x14ac:dyDescent="0.2">
      <c r="A4545" s="333">
        <v>39061027500</v>
      </c>
      <c r="B4545" t="s">
        <v>5598</v>
      </c>
      <c r="C4545" s="341" t="s">
        <v>5334</v>
      </c>
    </row>
    <row r="4546" spans="1:3" x14ac:dyDescent="0.2">
      <c r="A4546" s="333">
        <v>39061027600</v>
      </c>
      <c r="B4546" t="s">
        <v>5599</v>
      </c>
      <c r="C4546" s="341" t="s">
        <v>5334</v>
      </c>
    </row>
    <row r="4547" spans="1:3" x14ac:dyDescent="0.2">
      <c r="A4547" s="333">
        <v>39061027700</v>
      </c>
      <c r="B4547" t="s">
        <v>5600</v>
      </c>
      <c r="C4547" s="341" t="s">
        <v>5334</v>
      </c>
    </row>
    <row r="4548" spans="1:3" x14ac:dyDescent="0.2">
      <c r="A4548" s="333">
        <v>39063000100</v>
      </c>
      <c r="B4548" t="s">
        <v>1533</v>
      </c>
      <c r="C4548" s="341" t="s">
        <v>5334</v>
      </c>
    </row>
    <row r="4549" spans="1:3" x14ac:dyDescent="0.2">
      <c r="A4549" s="333">
        <v>39063000200</v>
      </c>
      <c r="B4549" t="s">
        <v>1534</v>
      </c>
      <c r="C4549" s="341" t="s">
        <v>5334</v>
      </c>
    </row>
    <row r="4550" spans="1:3" x14ac:dyDescent="0.2">
      <c r="A4550" s="333">
        <v>39063000301</v>
      </c>
      <c r="B4550" t="s">
        <v>5601</v>
      </c>
      <c r="C4550" s="341" t="s">
        <v>5334</v>
      </c>
    </row>
    <row r="4551" spans="1:3" x14ac:dyDescent="0.2">
      <c r="A4551" s="333">
        <v>39063000302</v>
      </c>
      <c r="B4551" t="s">
        <v>5602</v>
      </c>
      <c r="C4551" s="341" t="s">
        <v>5334</v>
      </c>
    </row>
    <row r="4552" spans="1:3" x14ac:dyDescent="0.2">
      <c r="A4552" s="333">
        <v>39063000400</v>
      </c>
      <c r="B4552" t="s">
        <v>1536</v>
      </c>
      <c r="C4552" s="341" t="s">
        <v>5334</v>
      </c>
    </row>
    <row r="4553" spans="1:3" x14ac:dyDescent="0.2">
      <c r="A4553" s="333">
        <v>39063000500</v>
      </c>
      <c r="B4553" t="s">
        <v>1537</v>
      </c>
      <c r="C4553" s="341" t="s">
        <v>5334</v>
      </c>
    </row>
    <row r="4554" spans="1:3" x14ac:dyDescent="0.2">
      <c r="A4554" s="333">
        <v>39063000600</v>
      </c>
      <c r="B4554" t="s">
        <v>1538</v>
      </c>
      <c r="C4554" s="341" t="s">
        <v>5334</v>
      </c>
    </row>
    <row r="4555" spans="1:3" x14ac:dyDescent="0.2">
      <c r="A4555" s="333">
        <v>39063000700</v>
      </c>
      <c r="B4555" t="s">
        <v>1539</v>
      </c>
      <c r="C4555" s="341" t="s">
        <v>5334</v>
      </c>
    </row>
    <row r="4556" spans="1:3" x14ac:dyDescent="0.2">
      <c r="A4556" s="333">
        <v>39063000800</v>
      </c>
      <c r="B4556" t="s">
        <v>1540</v>
      </c>
      <c r="C4556" s="341" t="s">
        <v>5334</v>
      </c>
    </row>
    <row r="4557" spans="1:3" x14ac:dyDescent="0.2">
      <c r="A4557" s="333">
        <v>39063000901</v>
      </c>
      <c r="B4557" t="s">
        <v>5603</v>
      </c>
      <c r="C4557" s="341" t="s">
        <v>4330</v>
      </c>
    </row>
    <row r="4558" spans="1:3" x14ac:dyDescent="0.2">
      <c r="A4558" s="333">
        <v>39063000902</v>
      </c>
      <c r="B4558" t="s">
        <v>5604</v>
      </c>
      <c r="C4558" s="341" t="s">
        <v>4330</v>
      </c>
    </row>
    <row r="4559" spans="1:3" x14ac:dyDescent="0.2">
      <c r="A4559" s="333">
        <v>39063001000</v>
      </c>
      <c r="B4559" t="s">
        <v>1542</v>
      </c>
      <c r="C4559" s="341" t="s">
        <v>5334</v>
      </c>
    </row>
    <row r="4560" spans="1:3" x14ac:dyDescent="0.2">
      <c r="A4560" s="333">
        <v>39063001100</v>
      </c>
      <c r="B4560" t="s">
        <v>1543</v>
      </c>
      <c r="C4560" s="341" t="s">
        <v>5334</v>
      </c>
    </row>
    <row r="4561" spans="1:3" x14ac:dyDescent="0.2">
      <c r="A4561" s="333">
        <v>39063001200</v>
      </c>
      <c r="B4561" t="s">
        <v>1544</v>
      </c>
      <c r="C4561" s="341" t="s">
        <v>5334</v>
      </c>
    </row>
    <row r="4562" spans="1:3" x14ac:dyDescent="0.2">
      <c r="A4562" s="333">
        <v>39063001300</v>
      </c>
      <c r="B4562" t="s">
        <v>1545</v>
      </c>
      <c r="C4562" s="341" t="s">
        <v>5334</v>
      </c>
    </row>
    <row r="4563" spans="1:3" x14ac:dyDescent="0.2">
      <c r="A4563" s="333">
        <v>39065000100</v>
      </c>
      <c r="B4563" t="s">
        <v>1546</v>
      </c>
      <c r="C4563" s="341" t="s">
        <v>5334</v>
      </c>
    </row>
    <row r="4564" spans="1:3" x14ac:dyDescent="0.2">
      <c r="A4564" s="333">
        <v>39065000200</v>
      </c>
      <c r="B4564" t="s">
        <v>1547</v>
      </c>
      <c r="C4564" s="341" t="s">
        <v>5334</v>
      </c>
    </row>
    <row r="4565" spans="1:3" x14ac:dyDescent="0.2">
      <c r="A4565" s="333">
        <v>39065000300</v>
      </c>
      <c r="B4565" t="s">
        <v>1548</v>
      </c>
      <c r="C4565" s="341" t="s">
        <v>5334</v>
      </c>
    </row>
    <row r="4566" spans="1:3" x14ac:dyDescent="0.2">
      <c r="A4566" s="333">
        <v>39065000401</v>
      </c>
      <c r="B4566" t="s">
        <v>5605</v>
      </c>
      <c r="C4566" s="341" t="s">
        <v>5334</v>
      </c>
    </row>
    <row r="4567" spans="1:3" x14ac:dyDescent="0.2">
      <c r="A4567" s="333">
        <v>39065000402</v>
      </c>
      <c r="B4567" t="s">
        <v>5606</v>
      </c>
      <c r="C4567" s="341" t="s">
        <v>5334</v>
      </c>
    </row>
    <row r="4568" spans="1:3" x14ac:dyDescent="0.2">
      <c r="A4568" s="333">
        <v>39065000500</v>
      </c>
      <c r="B4568" t="s">
        <v>1550</v>
      </c>
      <c r="C4568" s="341" t="s">
        <v>5334</v>
      </c>
    </row>
    <row r="4569" spans="1:3" x14ac:dyDescent="0.2">
      <c r="A4569" s="333">
        <v>39065000600</v>
      </c>
      <c r="B4569" t="s">
        <v>1551</v>
      </c>
      <c r="C4569" s="341" t="s">
        <v>5334</v>
      </c>
    </row>
    <row r="4570" spans="1:3" x14ac:dyDescent="0.2">
      <c r="A4570" s="333">
        <v>39065000700</v>
      </c>
      <c r="B4570" t="s">
        <v>1552</v>
      </c>
      <c r="C4570" s="341" t="s">
        <v>5334</v>
      </c>
    </row>
    <row r="4571" spans="1:3" x14ac:dyDescent="0.2">
      <c r="A4571" s="333">
        <v>39067975600</v>
      </c>
      <c r="B4571" t="s">
        <v>1553</v>
      </c>
      <c r="C4571" s="341" t="s">
        <v>5334</v>
      </c>
    </row>
    <row r="4572" spans="1:3" x14ac:dyDescent="0.2">
      <c r="A4572" s="333">
        <v>39067975700</v>
      </c>
      <c r="B4572" t="s">
        <v>1554</v>
      </c>
      <c r="C4572" s="341" t="s">
        <v>5334</v>
      </c>
    </row>
    <row r="4573" spans="1:3" x14ac:dyDescent="0.2">
      <c r="A4573" s="333">
        <v>39067975800</v>
      </c>
      <c r="B4573" t="s">
        <v>1555</v>
      </c>
      <c r="C4573" s="341" t="s">
        <v>5334</v>
      </c>
    </row>
    <row r="4574" spans="1:3" x14ac:dyDescent="0.2">
      <c r="A4574" s="333">
        <v>39067975900</v>
      </c>
      <c r="B4574" t="s">
        <v>1556</v>
      </c>
      <c r="C4574" s="341" t="s">
        <v>5334</v>
      </c>
    </row>
    <row r="4575" spans="1:3" x14ac:dyDescent="0.2">
      <c r="A4575" s="333">
        <v>39067976000</v>
      </c>
      <c r="B4575" t="s">
        <v>1557</v>
      </c>
      <c r="C4575" s="341" t="s">
        <v>5334</v>
      </c>
    </row>
    <row r="4576" spans="1:3" x14ac:dyDescent="0.2">
      <c r="A4576" s="333">
        <v>39069000100</v>
      </c>
      <c r="B4576" t="s">
        <v>1558</v>
      </c>
      <c r="C4576" s="341" t="s">
        <v>5334</v>
      </c>
    </row>
    <row r="4577" spans="1:3" x14ac:dyDescent="0.2">
      <c r="A4577" s="333">
        <v>39069000200</v>
      </c>
      <c r="B4577" t="s">
        <v>1559</v>
      </c>
      <c r="C4577" s="341" t="s">
        <v>5334</v>
      </c>
    </row>
    <row r="4578" spans="1:3" x14ac:dyDescent="0.2">
      <c r="A4578" s="333">
        <v>39069000300</v>
      </c>
      <c r="B4578" t="s">
        <v>1560</v>
      </c>
      <c r="C4578" s="341" t="s">
        <v>5334</v>
      </c>
    </row>
    <row r="4579" spans="1:3" x14ac:dyDescent="0.2">
      <c r="A4579" s="333">
        <v>39069000400</v>
      </c>
      <c r="B4579" t="s">
        <v>1561</v>
      </c>
      <c r="C4579" s="341" t="s">
        <v>5334</v>
      </c>
    </row>
    <row r="4580" spans="1:3" x14ac:dyDescent="0.2">
      <c r="A4580" s="333">
        <v>39069000500</v>
      </c>
      <c r="B4580" t="s">
        <v>1562</v>
      </c>
      <c r="C4580" s="341" t="s">
        <v>5334</v>
      </c>
    </row>
    <row r="4581" spans="1:3" x14ac:dyDescent="0.2">
      <c r="A4581" s="333">
        <v>39069000600</v>
      </c>
      <c r="B4581" t="s">
        <v>1563</v>
      </c>
      <c r="C4581" s="341" t="s">
        <v>5334</v>
      </c>
    </row>
    <row r="4582" spans="1:3" x14ac:dyDescent="0.2">
      <c r="A4582" s="333">
        <v>39069000700</v>
      </c>
      <c r="B4582" t="s">
        <v>1564</v>
      </c>
      <c r="C4582" s="341" t="s">
        <v>5334</v>
      </c>
    </row>
    <row r="4583" spans="1:3" x14ac:dyDescent="0.2">
      <c r="A4583" s="333">
        <v>39071954400</v>
      </c>
      <c r="B4583" t="s">
        <v>1565</v>
      </c>
      <c r="C4583" s="341" t="s">
        <v>5334</v>
      </c>
    </row>
    <row r="4584" spans="1:3" x14ac:dyDescent="0.2">
      <c r="A4584" s="333">
        <v>39071954500</v>
      </c>
      <c r="B4584" t="s">
        <v>1566</v>
      </c>
      <c r="C4584" s="341" t="s">
        <v>4330</v>
      </c>
    </row>
    <row r="4585" spans="1:3" x14ac:dyDescent="0.2">
      <c r="A4585" s="333">
        <v>39071954600</v>
      </c>
      <c r="B4585" t="s">
        <v>1567</v>
      </c>
      <c r="C4585" s="341" t="s">
        <v>5334</v>
      </c>
    </row>
    <row r="4586" spans="1:3" x14ac:dyDescent="0.2">
      <c r="A4586" s="333">
        <v>39071954700</v>
      </c>
      <c r="B4586" t="s">
        <v>1568</v>
      </c>
      <c r="C4586" s="341" t="s">
        <v>5334</v>
      </c>
    </row>
    <row r="4587" spans="1:3" x14ac:dyDescent="0.2">
      <c r="A4587" s="333">
        <v>39071954800</v>
      </c>
      <c r="B4587" t="s">
        <v>1569</v>
      </c>
      <c r="C4587" s="341" t="s">
        <v>5334</v>
      </c>
    </row>
    <row r="4588" spans="1:3" x14ac:dyDescent="0.2">
      <c r="A4588" s="333">
        <v>39071954900</v>
      </c>
      <c r="B4588" t="s">
        <v>1570</v>
      </c>
      <c r="C4588" s="341" t="s">
        <v>5334</v>
      </c>
    </row>
    <row r="4589" spans="1:3" x14ac:dyDescent="0.2">
      <c r="A4589" s="333">
        <v>39071955001</v>
      </c>
      <c r="B4589" t="s">
        <v>5607</v>
      </c>
      <c r="C4589" s="341" t="s">
        <v>4330</v>
      </c>
    </row>
    <row r="4590" spans="1:3" x14ac:dyDescent="0.2">
      <c r="A4590" s="333">
        <v>39071955002</v>
      </c>
      <c r="B4590" t="s">
        <v>5608</v>
      </c>
      <c r="C4590" s="341" t="s">
        <v>4330</v>
      </c>
    </row>
    <row r="4591" spans="1:3" x14ac:dyDescent="0.2">
      <c r="A4591" s="333">
        <v>39071955101</v>
      </c>
      <c r="B4591" t="s">
        <v>5609</v>
      </c>
      <c r="C4591" s="341" t="s">
        <v>5334</v>
      </c>
    </row>
    <row r="4592" spans="1:3" x14ac:dyDescent="0.2">
      <c r="A4592" s="333">
        <v>39071955102</v>
      </c>
      <c r="B4592" t="s">
        <v>5610</v>
      </c>
      <c r="C4592" s="341" t="s">
        <v>5334</v>
      </c>
    </row>
    <row r="4593" spans="1:3" x14ac:dyDescent="0.2">
      <c r="A4593" s="333">
        <v>39071955200</v>
      </c>
      <c r="B4593" t="s">
        <v>1573</v>
      </c>
      <c r="C4593" s="341" t="s">
        <v>5334</v>
      </c>
    </row>
    <row r="4594" spans="1:3" x14ac:dyDescent="0.2">
      <c r="A4594" s="333">
        <v>39073964900</v>
      </c>
      <c r="B4594" t="s">
        <v>1574</v>
      </c>
      <c r="C4594" s="341" t="s">
        <v>5334</v>
      </c>
    </row>
    <row r="4595" spans="1:3" x14ac:dyDescent="0.2">
      <c r="A4595" s="333">
        <v>39073965000</v>
      </c>
      <c r="B4595" t="s">
        <v>1575</v>
      </c>
      <c r="C4595" s="341" t="s">
        <v>5334</v>
      </c>
    </row>
    <row r="4596" spans="1:3" x14ac:dyDescent="0.2">
      <c r="A4596" s="333">
        <v>39073965100</v>
      </c>
      <c r="B4596" t="s">
        <v>1576</v>
      </c>
      <c r="C4596" s="341" t="s">
        <v>5334</v>
      </c>
    </row>
    <row r="4597" spans="1:3" x14ac:dyDescent="0.2">
      <c r="A4597" s="333">
        <v>39073965200</v>
      </c>
      <c r="B4597" t="s">
        <v>1577</v>
      </c>
      <c r="C4597" s="341" t="s">
        <v>5334</v>
      </c>
    </row>
    <row r="4598" spans="1:3" x14ac:dyDescent="0.2">
      <c r="A4598" s="333">
        <v>39073965300</v>
      </c>
      <c r="B4598" t="s">
        <v>1578</v>
      </c>
      <c r="C4598" s="341" t="s">
        <v>5334</v>
      </c>
    </row>
    <row r="4599" spans="1:3" x14ac:dyDescent="0.2">
      <c r="A4599" s="333">
        <v>39073965400</v>
      </c>
      <c r="B4599" t="s">
        <v>1579</v>
      </c>
      <c r="C4599" s="341" t="s">
        <v>5334</v>
      </c>
    </row>
    <row r="4600" spans="1:3" x14ac:dyDescent="0.2">
      <c r="A4600" s="333">
        <v>39073965500</v>
      </c>
      <c r="B4600" t="s">
        <v>1580</v>
      </c>
      <c r="C4600" s="341" t="s">
        <v>5334</v>
      </c>
    </row>
    <row r="4601" spans="1:3" x14ac:dyDescent="0.2">
      <c r="A4601" s="333">
        <v>39075976301</v>
      </c>
      <c r="B4601" t="s">
        <v>1581</v>
      </c>
      <c r="C4601" s="341" t="s">
        <v>5334</v>
      </c>
    </row>
    <row r="4602" spans="1:3" x14ac:dyDescent="0.2">
      <c r="A4602" s="333">
        <v>39075976302</v>
      </c>
      <c r="B4602" t="s">
        <v>1582</v>
      </c>
      <c r="C4602" s="341" t="s">
        <v>5334</v>
      </c>
    </row>
    <row r="4603" spans="1:3" x14ac:dyDescent="0.2">
      <c r="A4603" s="333">
        <v>39075976401</v>
      </c>
      <c r="B4603" t="s">
        <v>5611</v>
      </c>
      <c r="C4603" s="341" t="s">
        <v>5334</v>
      </c>
    </row>
    <row r="4604" spans="1:3" x14ac:dyDescent="0.2">
      <c r="A4604" s="333">
        <v>39075976402</v>
      </c>
      <c r="B4604" t="s">
        <v>5612</v>
      </c>
      <c r="C4604" s="341" t="s">
        <v>5334</v>
      </c>
    </row>
    <row r="4605" spans="1:3" x14ac:dyDescent="0.2">
      <c r="A4605" s="333">
        <v>39075976403</v>
      </c>
      <c r="B4605" t="s">
        <v>5613</v>
      </c>
      <c r="C4605" s="341" t="s">
        <v>5334</v>
      </c>
    </row>
    <row r="4606" spans="1:3" x14ac:dyDescent="0.2">
      <c r="A4606" s="333">
        <v>39075976500</v>
      </c>
      <c r="B4606" t="s">
        <v>1584</v>
      </c>
      <c r="C4606" s="341" t="s">
        <v>5334</v>
      </c>
    </row>
    <row r="4607" spans="1:3" x14ac:dyDescent="0.2">
      <c r="A4607" s="333">
        <v>39075976600</v>
      </c>
      <c r="B4607" t="s">
        <v>1585</v>
      </c>
      <c r="C4607" s="341" t="s">
        <v>5334</v>
      </c>
    </row>
    <row r="4608" spans="1:3" x14ac:dyDescent="0.2">
      <c r="A4608" s="333">
        <v>39075976700</v>
      </c>
      <c r="B4608" t="s">
        <v>1586</v>
      </c>
      <c r="C4608" s="341" t="s">
        <v>5334</v>
      </c>
    </row>
    <row r="4609" spans="1:3" x14ac:dyDescent="0.2">
      <c r="A4609" s="333">
        <v>39075976801</v>
      </c>
      <c r="B4609" t="s">
        <v>1587</v>
      </c>
      <c r="C4609" s="341" t="s">
        <v>5334</v>
      </c>
    </row>
    <row r="4610" spans="1:3" x14ac:dyDescent="0.2">
      <c r="A4610" s="333">
        <v>39075976802</v>
      </c>
      <c r="B4610" t="s">
        <v>1588</v>
      </c>
      <c r="C4610" s="341" t="s">
        <v>5334</v>
      </c>
    </row>
    <row r="4611" spans="1:3" x14ac:dyDescent="0.2">
      <c r="A4611" s="333">
        <v>39077915400</v>
      </c>
      <c r="B4611" t="s">
        <v>1589</v>
      </c>
      <c r="C4611" s="341" t="s">
        <v>5334</v>
      </c>
    </row>
    <row r="4612" spans="1:3" x14ac:dyDescent="0.2">
      <c r="A4612" s="333">
        <v>39077915500</v>
      </c>
      <c r="B4612" t="s">
        <v>1590</v>
      </c>
      <c r="C4612" s="341" t="s">
        <v>5334</v>
      </c>
    </row>
    <row r="4613" spans="1:3" x14ac:dyDescent="0.2">
      <c r="A4613" s="333">
        <v>39077915600</v>
      </c>
      <c r="B4613" t="s">
        <v>1591</v>
      </c>
      <c r="C4613" s="341" t="s">
        <v>5334</v>
      </c>
    </row>
    <row r="4614" spans="1:3" x14ac:dyDescent="0.2">
      <c r="A4614" s="333">
        <v>39077915700</v>
      </c>
      <c r="B4614" t="s">
        <v>1592</v>
      </c>
      <c r="C4614" s="341" t="s">
        <v>5334</v>
      </c>
    </row>
    <row r="4615" spans="1:3" x14ac:dyDescent="0.2">
      <c r="A4615" s="333">
        <v>39077915800</v>
      </c>
      <c r="B4615" t="s">
        <v>1593</v>
      </c>
      <c r="C4615" s="341" t="s">
        <v>5334</v>
      </c>
    </row>
    <row r="4616" spans="1:3" x14ac:dyDescent="0.2">
      <c r="A4616" s="333">
        <v>39077915900</v>
      </c>
      <c r="B4616" t="s">
        <v>1594</v>
      </c>
      <c r="C4616" s="341" t="s">
        <v>5334</v>
      </c>
    </row>
    <row r="4617" spans="1:3" x14ac:dyDescent="0.2">
      <c r="A4617" s="333">
        <v>39077916000</v>
      </c>
      <c r="B4617" t="s">
        <v>1595</v>
      </c>
      <c r="C4617" s="341" t="s">
        <v>5334</v>
      </c>
    </row>
    <row r="4618" spans="1:3" x14ac:dyDescent="0.2">
      <c r="A4618" s="333">
        <v>39077916100</v>
      </c>
      <c r="B4618" t="s">
        <v>1596</v>
      </c>
      <c r="C4618" s="341" t="s">
        <v>5334</v>
      </c>
    </row>
    <row r="4619" spans="1:3" x14ac:dyDescent="0.2">
      <c r="A4619" s="333">
        <v>39077916200</v>
      </c>
      <c r="B4619" t="s">
        <v>1597</v>
      </c>
      <c r="C4619" s="341" t="s">
        <v>5334</v>
      </c>
    </row>
    <row r="4620" spans="1:3" x14ac:dyDescent="0.2">
      <c r="A4620" s="333">
        <v>39077916300</v>
      </c>
      <c r="B4620" t="s">
        <v>1598</v>
      </c>
      <c r="C4620" s="341" t="s">
        <v>5334</v>
      </c>
    </row>
    <row r="4621" spans="1:3" x14ac:dyDescent="0.2">
      <c r="A4621" s="333">
        <v>39077916400</v>
      </c>
      <c r="B4621" t="s">
        <v>1599</v>
      </c>
      <c r="C4621" s="341" t="s">
        <v>5334</v>
      </c>
    </row>
    <row r="4622" spans="1:3" x14ac:dyDescent="0.2">
      <c r="A4622" s="333">
        <v>39077916500</v>
      </c>
      <c r="B4622" t="s">
        <v>1600</v>
      </c>
      <c r="C4622" s="341" t="s">
        <v>5334</v>
      </c>
    </row>
    <row r="4623" spans="1:3" x14ac:dyDescent="0.2">
      <c r="A4623" s="333">
        <v>39077916600</v>
      </c>
      <c r="B4623" t="s">
        <v>1601</v>
      </c>
      <c r="C4623" s="341" t="s">
        <v>5334</v>
      </c>
    </row>
    <row r="4624" spans="1:3" x14ac:dyDescent="0.2">
      <c r="A4624" s="333">
        <v>39079957200</v>
      </c>
      <c r="B4624" t="s">
        <v>1602</v>
      </c>
      <c r="C4624" s="341" t="s">
        <v>4330</v>
      </c>
    </row>
    <row r="4625" spans="1:3" x14ac:dyDescent="0.2">
      <c r="A4625" s="333">
        <v>39079957300</v>
      </c>
      <c r="B4625" t="s">
        <v>1603</v>
      </c>
      <c r="C4625" s="341" t="s">
        <v>5334</v>
      </c>
    </row>
    <row r="4626" spans="1:3" x14ac:dyDescent="0.2">
      <c r="A4626" s="333">
        <v>39079957400</v>
      </c>
      <c r="B4626" t="s">
        <v>1604</v>
      </c>
      <c r="C4626" s="341" t="s">
        <v>5334</v>
      </c>
    </row>
    <row r="4627" spans="1:3" x14ac:dyDescent="0.2">
      <c r="A4627" s="333">
        <v>39079957500</v>
      </c>
      <c r="B4627" t="s">
        <v>1605</v>
      </c>
      <c r="C4627" s="341" t="s">
        <v>5334</v>
      </c>
    </row>
    <row r="4628" spans="1:3" x14ac:dyDescent="0.2">
      <c r="A4628" s="333">
        <v>39079957600</v>
      </c>
      <c r="B4628" t="s">
        <v>1606</v>
      </c>
      <c r="C4628" s="341" t="s">
        <v>5334</v>
      </c>
    </row>
    <row r="4629" spans="1:3" x14ac:dyDescent="0.2">
      <c r="A4629" s="333">
        <v>39079957700</v>
      </c>
      <c r="B4629" t="s">
        <v>1607</v>
      </c>
      <c r="C4629" s="341" t="s">
        <v>5334</v>
      </c>
    </row>
    <row r="4630" spans="1:3" x14ac:dyDescent="0.2">
      <c r="A4630" s="333">
        <v>39079957800</v>
      </c>
      <c r="B4630" t="s">
        <v>1608</v>
      </c>
      <c r="C4630" s="341" t="s">
        <v>5334</v>
      </c>
    </row>
    <row r="4631" spans="1:3" x14ac:dyDescent="0.2">
      <c r="A4631" s="333">
        <v>39081000200</v>
      </c>
      <c r="B4631" t="s">
        <v>1609</v>
      </c>
      <c r="C4631" s="341" t="s">
        <v>4330</v>
      </c>
    </row>
    <row r="4632" spans="1:3" x14ac:dyDescent="0.2">
      <c r="A4632" s="333">
        <v>39081000400</v>
      </c>
      <c r="B4632" t="s">
        <v>1610</v>
      </c>
      <c r="C4632" s="341" t="s">
        <v>4330</v>
      </c>
    </row>
    <row r="4633" spans="1:3" x14ac:dyDescent="0.2">
      <c r="A4633" s="333">
        <v>39081000600</v>
      </c>
      <c r="B4633" t="s">
        <v>1611</v>
      </c>
      <c r="C4633" s="341" t="s">
        <v>5334</v>
      </c>
    </row>
    <row r="4634" spans="1:3" x14ac:dyDescent="0.2">
      <c r="A4634" s="333">
        <v>39081001000</v>
      </c>
      <c r="B4634" t="s">
        <v>1613</v>
      </c>
      <c r="C4634" s="341" t="s">
        <v>5334</v>
      </c>
    </row>
    <row r="4635" spans="1:3" x14ac:dyDescent="0.2">
      <c r="A4635" s="333">
        <v>39081001200</v>
      </c>
      <c r="B4635" t="s">
        <v>1614</v>
      </c>
      <c r="C4635" s="341" t="s">
        <v>5334</v>
      </c>
    </row>
    <row r="4636" spans="1:3" x14ac:dyDescent="0.2">
      <c r="A4636" s="333">
        <v>39081001300</v>
      </c>
      <c r="B4636" t="s">
        <v>1615</v>
      </c>
      <c r="C4636" s="341" t="s">
        <v>4330</v>
      </c>
    </row>
    <row r="4637" spans="1:3" x14ac:dyDescent="0.2">
      <c r="A4637" s="333">
        <v>39081001400</v>
      </c>
      <c r="B4637" t="s">
        <v>1616</v>
      </c>
      <c r="C4637" s="341" t="s">
        <v>5334</v>
      </c>
    </row>
    <row r="4638" spans="1:3" x14ac:dyDescent="0.2">
      <c r="A4638" s="333">
        <v>39081011000</v>
      </c>
      <c r="B4638" t="s">
        <v>1618</v>
      </c>
      <c r="C4638" s="341" t="s">
        <v>5334</v>
      </c>
    </row>
    <row r="4639" spans="1:3" x14ac:dyDescent="0.2">
      <c r="A4639" s="333">
        <v>39081011100</v>
      </c>
      <c r="B4639" t="s">
        <v>1619</v>
      </c>
      <c r="C4639" s="341" t="s">
        <v>5334</v>
      </c>
    </row>
    <row r="4640" spans="1:3" x14ac:dyDescent="0.2">
      <c r="A4640" s="333">
        <v>39081011200</v>
      </c>
      <c r="B4640" t="s">
        <v>1620</v>
      </c>
      <c r="C4640" s="341" t="s">
        <v>5334</v>
      </c>
    </row>
    <row r="4641" spans="1:3" x14ac:dyDescent="0.2">
      <c r="A4641" s="333">
        <v>39081011300</v>
      </c>
      <c r="B4641" t="s">
        <v>1621</v>
      </c>
      <c r="C4641" s="341" t="s">
        <v>5334</v>
      </c>
    </row>
    <row r="4642" spans="1:3" x14ac:dyDescent="0.2">
      <c r="A4642" s="333">
        <v>39081011401</v>
      </c>
      <c r="B4642" t="s">
        <v>1622</v>
      </c>
      <c r="C4642" s="341" t="s">
        <v>5334</v>
      </c>
    </row>
    <row r="4643" spans="1:3" x14ac:dyDescent="0.2">
      <c r="A4643" s="333">
        <v>39081011402</v>
      </c>
      <c r="B4643" t="s">
        <v>1623</v>
      </c>
      <c r="C4643" s="341" t="s">
        <v>5334</v>
      </c>
    </row>
    <row r="4644" spans="1:3" x14ac:dyDescent="0.2">
      <c r="A4644" s="333">
        <v>39081011500</v>
      </c>
      <c r="B4644" t="s">
        <v>1624</v>
      </c>
      <c r="C4644" s="341" t="s">
        <v>5334</v>
      </c>
    </row>
    <row r="4645" spans="1:3" x14ac:dyDescent="0.2">
      <c r="A4645" s="333">
        <v>39081011700</v>
      </c>
      <c r="B4645" t="s">
        <v>1625</v>
      </c>
      <c r="C4645" s="341" t="s">
        <v>5334</v>
      </c>
    </row>
    <row r="4646" spans="1:3" x14ac:dyDescent="0.2">
      <c r="A4646" s="333">
        <v>39081011800</v>
      </c>
      <c r="B4646" t="s">
        <v>1626</v>
      </c>
      <c r="C4646" s="341" t="s">
        <v>5334</v>
      </c>
    </row>
    <row r="4647" spans="1:3" x14ac:dyDescent="0.2">
      <c r="A4647" s="333">
        <v>39081011900</v>
      </c>
      <c r="B4647" t="s">
        <v>1627</v>
      </c>
      <c r="C4647" s="341" t="s">
        <v>5334</v>
      </c>
    </row>
    <row r="4648" spans="1:3" x14ac:dyDescent="0.2">
      <c r="A4648" s="333">
        <v>39081012000</v>
      </c>
      <c r="B4648" t="s">
        <v>1628</v>
      </c>
      <c r="C4648" s="341" t="s">
        <v>5334</v>
      </c>
    </row>
    <row r="4649" spans="1:3" x14ac:dyDescent="0.2">
      <c r="A4649" s="333">
        <v>39081012100</v>
      </c>
      <c r="B4649" t="s">
        <v>1629</v>
      </c>
      <c r="C4649" s="341" t="s">
        <v>5334</v>
      </c>
    </row>
    <row r="4650" spans="1:3" x14ac:dyDescent="0.2">
      <c r="A4650" s="333">
        <v>39081012200</v>
      </c>
      <c r="B4650" t="s">
        <v>1630</v>
      </c>
      <c r="C4650" s="341" t="s">
        <v>5334</v>
      </c>
    </row>
    <row r="4651" spans="1:3" x14ac:dyDescent="0.2">
      <c r="A4651" s="333">
        <v>39081012300</v>
      </c>
      <c r="B4651" t="s">
        <v>1631</v>
      </c>
      <c r="C4651" s="341" t="s">
        <v>5334</v>
      </c>
    </row>
    <row r="4652" spans="1:3" x14ac:dyDescent="0.2">
      <c r="A4652" s="333">
        <v>39081012400</v>
      </c>
      <c r="B4652" t="s">
        <v>5614</v>
      </c>
      <c r="C4652" s="341" t="s">
        <v>4330</v>
      </c>
    </row>
    <row r="4653" spans="1:3" x14ac:dyDescent="0.2">
      <c r="A4653" s="333">
        <v>39083006700</v>
      </c>
      <c r="B4653" t="s">
        <v>5615</v>
      </c>
      <c r="C4653" s="341" t="s">
        <v>5334</v>
      </c>
    </row>
    <row r="4654" spans="1:3" x14ac:dyDescent="0.2">
      <c r="A4654" s="333">
        <v>39083006801</v>
      </c>
      <c r="B4654" t="s">
        <v>5616</v>
      </c>
      <c r="C4654" s="341" t="s">
        <v>5334</v>
      </c>
    </row>
    <row r="4655" spans="1:3" x14ac:dyDescent="0.2">
      <c r="A4655" s="333">
        <v>39083006802</v>
      </c>
      <c r="B4655" t="s">
        <v>5617</v>
      </c>
      <c r="C4655" s="341" t="s">
        <v>5334</v>
      </c>
    </row>
    <row r="4656" spans="1:3" x14ac:dyDescent="0.2">
      <c r="A4656" s="333">
        <v>39083006900</v>
      </c>
      <c r="B4656" t="s">
        <v>5618</v>
      </c>
      <c r="C4656" s="341" t="s">
        <v>5334</v>
      </c>
    </row>
    <row r="4657" spans="1:3" x14ac:dyDescent="0.2">
      <c r="A4657" s="333">
        <v>39083007000</v>
      </c>
      <c r="B4657" t="s">
        <v>5619</v>
      </c>
      <c r="C4657" s="341" t="s">
        <v>5334</v>
      </c>
    </row>
    <row r="4658" spans="1:3" x14ac:dyDescent="0.2">
      <c r="A4658" s="333">
        <v>39083007100</v>
      </c>
      <c r="B4658" t="s">
        <v>5620</v>
      </c>
      <c r="C4658" s="341" t="s">
        <v>4330</v>
      </c>
    </row>
    <row r="4659" spans="1:3" x14ac:dyDescent="0.2">
      <c r="A4659" s="333">
        <v>39083007200</v>
      </c>
      <c r="B4659" t="s">
        <v>5621</v>
      </c>
      <c r="C4659" s="341" t="s">
        <v>5334</v>
      </c>
    </row>
    <row r="4660" spans="1:3" x14ac:dyDescent="0.2">
      <c r="A4660" s="333">
        <v>39083007301</v>
      </c>
      <c r="B4660" t="s">
        <v>5622</v>
      </c>
      <c r="C4660" s="341" t="s">
        <v>5334</v>
      </c>
    </row>
    <row r="4661" spans="1:3" x14ac:dyDescent="0.2">
      <c r="A4661" s="333">
        <v>39083007302</v>
      </c>
      <c r="B4661" t="s">
        <v>5623</v>
      </c>
      <c r="C4661" s="341" t="s">
        <v>5334</v>
      </c>
    </row>
    <row r="4662" spans="1:3" x14ac:dyDescent="0.2">
      <c r="A4662" s="333">
        <v>39083007400</v>
      </c>
      <c r="B4662" t="s">
        <v>5624</v>
      </c>
      <c r="C4662" s="341" t="s">
        <v>5334</v>
      </c>
    </row>
    <row r="4663" spans="1:3" x14ac:dyDescent="0.2">
      <c r="A4663" s="333">
        <v>39083007500</v>
      </c>
      <c r="B4663" t="s">
        <v>5625</v>
      </c>
      <c r="C4663" s="341" t="s">
        <v>5334</v>
      </c>
    </row>
    <row r="4664" spans="1:3" x14ac:dyDescent="0.2">
      <c r="A4664" s="333">
        <v>39083007600</v>
      </c>
      <c r="B4664" t="s">
        <v>5626</v>
      </c>
      <c r="C4664" s="341" t="s">
        <v>5334</v>
      </c>
    </row>
    <row r="4665" spans="1:3" x14ac:dyDescent="0.2">
      <c r="A4665" s="333">
        <v>39083007701</v>
      </c>
      <c r="B4665" t="s">
        <v>5627</v>
      </c>
      <c r="C4665" s="341" t="s">
        <v>5334</v>
      </c>
    </row>
    <row r="4666" spans="1:3" x14ac:dyDescent="0.2">
      <c r="A4666" s="333">
        <v>39083007702</v>
      </c>
      <c r="B4666" t="s">
        <v>5628</v>
      </c>
      <c r="C4666" s="341" t="s">
        <v>5334</v>
      </c>
    </row>
    <row r="4667" spans="1:3" x14ac:dyDescent="0.2">
      <c r="A4667" s="333">
        <v>39085200100</v>
      </c>
      <c r="B4667" t="s">
        <v>1632</v>
      </c>
      <c r="C4667" s="341" t="s">
        <v>5334</v>
      </c>
    </row>
    <row r="4668" spans="1:3" x14ac:dyDescent="0.2">
      <c r="A4668" s="333">
        <v>39085200200</v>
      </c>
      <c r="B4668" t="s">
        <v>1633</v>
      </c>
      <c r="C4668" s="341" t="s">
        <v>5334</v>
      </c>
    </row>
    <row r="4669" spans="1:3" x14ac:dyDescent="0.2">
      <c r="A4669" s="333">
        <v>39085200300</v>
      </c>
      <c r="B4669" t="s">
        <v>1634</v>
      </c>
      <c r="C4669" s="341" t="s">
        <v>5334</v>
      </c>
    </row>
    <row r="4670" spans="1:3" x14ac:dyDescent="0.2">
      <c r="A4670" s="333">
        <v>39085200400</v>
      </c>
      <c r="B4670" t="s">
        <v>1635</v>
      </c>
      <c r="C4670" s="341" t="s">
        <v>5334</v>
      </c>
    </row>
    <row r="4671" spans="1:3" x14ac:dyDescent="0.2">
      <c r="A4671" s="333">
        <v>39085200500</v>
      </c>
      <c r="B4671" t="s">
        <v>1636</v>
      </c>
      <c r="C4671" s="341" t="s">
        <v>5334</v>
      </c>
    </row>
    <row r="4672" spans="1:3" x14ac:dyDescent="0.2">
      <c r="A4672" s="333">
        <v>39085200600</v>
      </c>
      <c r="B4672" t="s">
        <v>1637</v>
      </c>
      <c r="C4672" s="341" t="s">
        <v>5334</v>
      </c>
    </row>
    <row r="4673" spans="1:3" x14ac:dyDescent="0.2">
      <c r="A4673" s="333">
        <v>39085200700</v>
      </c>
      <c r="B4673" t="s">
        <v>1638</v>
      </c>
      <c r="C4673" s="341" t="s">
        <v>5334</v>
      </c>
    </row>
    <row r="4674" spans="1:3" x14ac:dyDescent="0.2">
      <c r="A4674" s="333">
        <v>39085200800</v>
      </c>
      <c r="B4674" t="s">
        <v>1639</v>
      </c>
      <c r="C4674" s="341" t="s">
        <v>5334</v>
      </c>
    </row>
    <row r="4675" spans="1:3" x14ac:dyDescent="0.2">
      <c r="A4675" s="333">
        <v>39085200900</v>
      </c>
      <c r="B4675" t="s">
        <v>1640</v>
      </c>
      <c r="C4675" s="341" t="s">
        <v>5334</v>
      </c>
    </row>
    <row r="4676" spans="1:3" x14ac:dyDescent="0.2">
      <c r="A4676" s="333">
        <v>39085201000</v>
      </c>
      <c r="B4676" t="s">
        <v>1641</v>
      </c>
      <c r="C4676" s="341" t="s">
        <v>5334</v>
      </c>
    </row>
    <row r="4677" spans="1:3" x14ac:dyDescent="0.2">
      <c r="A4677" s="333">
        <v>39085201101</v>
      </c>
      <c r="B4677" t="s">
        <v>5629</v>
      </c>
      <c r="C4677" s="341" t="s">
        <v>5334</v>
      </c>
    </row>
    <row r="4678" spans="1:3" x14ac:dyDescent="0.2">
      <c r="A4678" s="333">
        <v>39085201102</v>
      </c>
      <c r="B4678" t="s">
        <v>5630</v>
      </c>
      <c r="C4678" s="341" t="s">
        <v>5334</v>
      </c>
    </row>
    <row r="4679" spans="1:3" x14ac:dyDescent="0.2">
      <c r="A4679" s="333">
        <v>39085201200</v>
      </c>
      <c r="B4679" t="s">
        <v>1643</v>
      </c>
      <c r="C4679" s="341" t="s">
        <v>5334</v>
      </c>
    </row>
    <row r="4680" spans="1:3" x14ac:dyDescent="0.2">
      <c r="A4680" s="333">
        <v>39085201300</v>
      </c>
      <c r="B4680" t="s">
        <v>1644</v>
      </c>
      <c r="C4680" s="341" t="s">
        <v>5334</v>
      </c>
    </row>
    <row r="4681" spans="1:3" x14ac:dyDescent="0.2">
      <c r="A4681" s="333">
        <v>39085201400</v>
      </c>
      <c r="B4681" t="s">
        <v>1645</v>
      </c>
      <c r="C4681" s="341" t="s">
        <v>5334</v>
      </c>
    </row>
    <row r="4682" spans="1:3" x14ac:dyDescent="0.2">
      <c r="A4682" s="333">
        <v>39085201500</v>
      </c>
      <c r="B4682" t="s">
        <v>1646</v>
      </c>
      <c r="C4682" s="341" t="s">
        <v>5334</v>
      </c>
    </row>
    <row r="4683" spans="1:3" x14ac:dyDescent="0.2">
      <c r="A4683" s="333">
        <v>39085201600</v>
      </c>
      <c r="B4683" t="s">
        <v>1647</v>
      </c>
      <c r="C4683" s="341" t="s">
        <v>5334</v>
      </c>
    </row>
    <row r="4684" spans="1:3" x14ac:dyDescent="0.2">
      <c r="A4684" s="333">
        <v>39085201700</v>
      </c>
      <c r="B4684" t="s">
        <v>1648</v>
      </c>
      <c r="C4684" s="341" t="s">
        <v>5334</v>
      </c>
    </row>
    <row r="4685" spans="1:3" x14ac:dyDescent="0.2">
      <c r="A4685" s="333">
        <v>39085201800</v>
      </c>
      <c r="B4685" t="s">
        <v>1649</v>
      </c>
      <c r="C4685" s="341" t="s">
        <v>5334</v>
      </c>
    </row>
    <row r="4686" spans="1:3" x14ac:dyDescent="0.2">
      <c r="A4686" s="333">
        <v>39085201900</v>
      </c>
      <c r="B4686" t="s">
        <v>1650</v>
      </c>
      <c r="C4686" s="341" t="s">
        <v>5334</v>
      </c>
    </row>
    <row r="4687" spans="1:3" x14ac:dyDescent="0.2">
      <c r="A4687" s="333">
        <v>39085202000</v>
      </c>
      <c r="B4687" t="s">
        <v>1651</v>
      </c>
      <c r="C4687" s="341" t="s">
        <v>5334</v>
      </c>
    </row>
    <row r="4688" spans="1:3" x14ac:dyDescent="0.2">
      <c r="A4688" s="333">
        <v>39085202100</v>
      </c>
      <c r="B4688" t="s">
        <v>1652</v>
      </c>
      <c r="C4688" s="341" t="s">
        <v>5334</v>
      </c>
    </row>
    <row r="4689" spans="1:3" x14ac:dyDescent="0.2">
      <c r="A4689" s="333">
        <v>39085202400</v>
      </c>
      <c r="B4689" t="s">
        <v>1653</v>
      </c>
      <c r="C4689" s="341" t="s">
        <v>5334</v>
      </c>
    </row>
    <row r="4690" spans="1:3" x14ac:dyDescent="0.2">
      <c r="A4690" s="333">
        <v>39085202500</v>
      </c>
      <c r="B4690" t="s">
        <v>1654</v>
      </c>
      <c r="C4690" s="341" t="s">
        <v>5334</v>
      </c>
    </row>
    <row r="4691" spans="1:3" x14ac:dyDescent="0.2">
      <c r="A4691" s="333">
        <v>39085202600</v>
      </c>
      <c r="B4691" t="s">
        <v>1655</v>
      </c>
      <c r="C4691" s="341" t="s">
        <v>5334</v>
      </c>
    </row>
    <row r="4692" spans="1:3" x14ac:dyDescent="0.2">
      <c r="A4692" s="333">
        <v>39085202700</v>
      </c>
      <c r="B4692" t="s">
        <v>1656</v>
      </c>
      <c r="C4692" s="341" t="s">
        <v>5334</v>
      </c>
    </row>
    <row r="4693" spans="1:3" x14ac:dyDescent="0.2">
      <c r="A4693" s="333">
        <v>39085202800</v>
      </c>
      <c r="B4693" t="s">
        <v>1657</v>
      </c>
      <c r="C4693" s="341" t="s">
        <v>5334</v>
      </c>
    </row>
    <row r="4694" spans="1:3" x14ac:dyDescent="0.2">
      <c r="A4694" s="333">
        <v>39085202901</v>
      </c>
      <c r="B4694" t="s">
        <v>5631</v>
      </c>
      <c r="C4694" s="341" t="s">
        <v>5334</v>
      </c>
    </row>
    <row r="4695" spans="1:3" x14ac:dyDescent="0.2">
      <c r="A4695" s="333">
        <v>39085202902</v>
      </c>
      <c r="B4695" t="s">
        <v>5632</v>
      </c>
      <c r="C4695" s="341" t="s">
        <v>5334</v>
      </c>
    </row>
    <row r="4696" spans="1:3" x14ac:dyDescent="0.2">
      <c r="A4696" s="333">
        <v>39085203000</v>
      </c>
      <c r="B4696" t="s">
        <v>1659</v>
      </c>
      <c r="C4696" s="341" t="s">
        <v>5334</v>
      </c>
    </row>
    <row r="4697" spans="1:3" x14ac:dyDescent="0.2">
      <c r="A4697" s="333">
        <v>39085203200</v>
      </c>
      <c r="B4697" t="s">
        <v>1660</v>
      </c>
      <c r="C4697" s="341" t="s">
        <v>5334</v>
      </c>
    </row>
    <row r="4698" spans="1:3" x14ac:dyDescent="0.2">
      <c r="A4698" s="333">
        <v>39085203400</v>
      </c>
      <c r="B4698" t="s">
        <v>1661</v>
      </c>
      <c r="C4698" s="341" t="s">
        <v>5334</v>
      </c>
    </row>
    <row r="4699" spans="1:3" x14ac:dyDescent="0.2">
      <c r="A4699" s="333">
        <v>39085203500</v>
      </c>
      <c r="B4699" t="s">
        <v>1662</v>
      </c>
      <c r="C4699" s="341" t="s">
        <v>5334</v>
      </c>
    </row>
    <row r="4700" spans="1:3" x14ac:dyDescent="0.2">
      <c r="A4700" s="333">
        <v>39085203700</v>
      </c>
      <c r="B4700" t="s">
        <v>1663</v>
      </c>
      <c r="C4700" s="341" t="s">
        <v>5334</v>
      </c>
    </row>
    <row r="4701" spans="1:3" x14ac:dyDescent="0.2">
      <c r="A4701" s="333">
        <v>39085204000</v>
      </c>
      <c r="B4701" t="s">
        <v>1664</v>
      </c>
      <c r="C4701" s="341" t="s">
        <v>5334</v>
      </c>
    </row>
    <row r="4702" spans="1:3" x14ac:dyDescent="0.2">
      <c r="A4702" s="333">
        <v>39085204200</v>
      </c>
      <c r="B4702" t="s">
        <v>1665</v>
      </c>
      <c r="C4702" s="341" t="s">
        <v>5334</v>
      </c>
    </row>
    <row r="4703" spans="1:3" x14ac:dyDescent="0.2">
      <c r="A4703" s="333">
        <v>39085204303</v>
      </c>
      <c r="B4703" t="s">
        <v>5633</v>
      </c>
      <c r="C4703" s="341" t="s">
        <v>5334</v>
      </c>
    </row>
    <row r="4704" spans="1:3" x14ac:dyDescent="0.2">
      <c r="A4704" s="333">
        <v>39085204304</v>
      </c>
      <c r="B4704" t="s">
        <v>5634</v>
      </c>
      <c r="C4704" s="341" t="s">
        <v>5334</v>
      </c>
    </row>
    <row r="4705" spans="1:3" x14ac:dyDescent="0.2">
      <c r="A4705" s="333">
        <v>39085204400</v>
      </c>
      <c r="B4705" t="s">
        <v>1668</v>
      </c>
      <c r="C4705" s="341" t="s">
        <v>5334</v>
      </c>
    </row>
    <row r="4706" spans="1:3" x14ac:dyDescent="0.2">
      <c r="A4706" s="333">
        <v>39085204500</v>
      </c>
      <c r="B4706" t="s">
        <v>1669</v>
      </c>
      <c r="C4706" s="341" t="s">
        <v>4330</v>
      </c>
    </row>
    <row r="4707" spans="1:3" x14ac:dyDescent="0.2">
      <c r="A4707" s="333">
        <v>39085204700</v>
      </c>
      <c r="B4707" t="s">
        <v>1670</v>
      </c>
      <c r="C4707" s="341" t="s">
        <v>5334</v>
      </c>
    </row>
    <row r="4708" spans="1:3" x14ac:dyDescent="0.2">
      <c r="A4708" s="333">
        <v>39085204800</v>
      </c>
      <c r="B4708" t="s">
        <v>1671</v>
      </c>
      <c r="C4708" s="341" t="s">
        <v>5334</v>
      </c>
    </row>
    <row r="4709" spans="1:3" x14ac:dyDescent="0.2">
      <c r="A4709" s="333">
        <v>39085204900</v>
      </c>
      <c r="B4709" t="s">
        <v>1672</v>
      </c>
      <c r="C4709" s="341" t="s">
        <v>5334</v>
      </c>
    </row>
    <row r="4710" spans="1:3" x14ac:dyDescent="0.2">
      <c r="A4710" s="333">
        <v>39085205001</v>
      </c>
      <c r="B4710" t="s">
        <v>1673</v>
      </c>
      <c r="C4710" s="341" t="s">
        <v>5334</v>
      </c>
    </row>
    <row r="4711" spans="1:3" x14ac:dyDescent="0.2">
      <c r="A4711" s="333">
        <v>39085205002</v>
      </c>
      <c r="B4711" t="s">
        <v>1674</v>
      </c>
      <c r="C4711" s="341" t="s">
        <v>5334</v>
      </c>
    </row>
    <row r="4712" spans="1:3" x14ac:dyDescent="0.2">
      <c r="A4712" s="333">
        <v>39085205100</v>
      </c>
      <c r="B4712" t="s">
        <v>1675</v>
      </c>
      <c r="C4712" s="341" t="s">
        <v>5334</v>
      </c>
    </row>
    <row r="4713" spans="1:3" x14ac:dyDescent="0.2">
      <c r="A4713" s="333">
        <v>39085205200</v>
      </c>
      <c r="B4713" t="s">
        <v>1676</v>
      </c>
      <c r="C4713" s="341" t="s">
        <v>5334</v>
      </c>
    </row>
    <row r="4714" spans="1:3" x14ac:dyDescent="0.2">
      <c r="A4714" s="333">
        <v>39085205300</v>
      </c>
      <c r="B4714" t="s">
        <v>1677</v>
      </c>
      <c r="C4714" s="341" t="s">
        <v>5334</v>
      </c>
    </row>
    <row r="4715" spans="1:3" x14ac:dyDescent="0.2">
      <c r="A4715" s="333">
        <v>39085205400</v>
      </c>
      <c r="B4715" t="s">
        <v>1678</v>
      </c>
      <c r="C4715" s="341" t="s">
        <v>5334</v>
      </c>
    </row>
    <row r="4716" spans="1:3" x14ac:dyDescent="0.2">
      <c r="A4716" s="333">
        <v>39085205701</v>
      </c>
      <c r="B4716" t="s">
        <v>1679</v>
      </c>
      <c r="C4716" s="341" t="s">
        <v>5334</v>
      </c>
    </row>
    <row r="4717" spans="1:3" x14ac:dyDescent="0.2">
      <c r="A4717" s="333">
        <v>39085205702</v>
      </c>
      <c r="B4717" t="s">
        <v>1680</v>
      </c>
      <c r="C4717" s="341" t="s">
        <v>5334</v>
      </c>
    </row>
    <row r="4718" spans="1:3" x14ac:dyDescent="0.2">
      <c r="A4718" s="333">
        <v>39085205800</v>
      </c>
      <c r="B4718" t="s">
        <v>1681</v>
      </c>
      <c r="C4718" s="341" t="s">
        <v>5334</v>
      </c>
    </row>
    <row r="4719" spans="1:3" x14ac:dyDescent="0.2">
      <c r="A4719" s="333">
        <v>39085206100</v>
      </c>
      <c r="B4719" t="s">
        <v>1684</v>
      </c>
      <c r="C4719" s="341" t="s">
        <v>5334</v>
      </c>
    </row>
    <row r="4720" spans="1:3" x14ac:dyDescent="0.2">
      <c r="A4720" s="333">
        <v>39085206200</v>
      </c>
      <c r="B4720" t="s">
        <v>1685</v>
      </c>
      <c r="C4720" s="341" t="s">
        <v>5334</v>
      </c>
    </row>
    <row r="4721" spans="1:3" x14ac:dyDescent="0.2">
      <c r="A4721" s="333">
        <v>39085206300</v>
      </c>
      <c r="B4721" t="s">
        <v>1686</v>
      </c>
      <c r="C4721" s="341" t="s">
        <v>5334</v>
      </c>
    </row>
    <row r="4722" spans="1:3" x14ac:dyDescent="0.2">
      <c r="A4722" s="333">
        <v>39085206400</v>
      </c>
      <c r="B4722" t="s">
        <v>1687</v>
      </c>
      <c r="C4722" s="341" t="s">
        <v>5334</v>
      </c>
    </row>
    <row r="4723" spans="1:3" x14ac:dyDescent="0.2">
      <c r="A4723" s="333">
        <v>39085206500</v>
      </c>
      <c r="B4723" t="s">
        <v>1688</v>
      </c>
      <c r="C4723" s="341" t="s">
        <v>5334</v>
      </c>
    </row>
    <row r="4724" spans="1:3" x14ac:dyDescent="0.2">
      <c r="A4724" s="333">
        <v>39085206600</v>
      </c>
      <c r="B4724" t="s">
        <v>1689</v>
      </c>
      <c r="C4724" s="341" t="s">
        <v>5334</v>
      </c>
    </row>
    <row r="4725" spans="1:3" x14ac:dyDescent="0.2">
      <c r="A4725" s="333">
        <v>39085206700</v>
      </c>
      <c r="B4725" t="s">
        <v>5635</v>
      </c>
      <c r="C4725" s="341" t="s">
        <v>5334</v>
      </c>
    </row>
    <row r="4726" spans="1:3" x14ac:dyDescent="0.2">
      <c r="A4726" s="333">
        <v>39085990000</v>
      </c>
      <c r="B4726" t="s">
        <v>5636</v>
      </c>
      <c r="C4726" s="341" t="s">
        <v>5334</v>
      </c>
    </row>
    <row r="4727" spans="1:3" x14ac:dyDescent="0.2">
      <c r="A4727" s="333">
        <v>39087050100</v>
      </c>
      <c r="B4727" t="s">
        <v>1690</v>
      </c>
      <c r="C4727" s="341" t="s">
        <v>5334</v>
      </c>
    </row>
    <row r="4728" spans="1:3" x14ac:dyDescent="0.2">
      <c r="A4728" s="333">
        <v>39087050200</v>
      </c>
      <c r="B4728" t="s">
        <v>1691</v>
      </c>
      <c r="C4728" s="341" t="s">
        <v>5334</v>
      </c>
    </row>
    <row r="4729" spans="1:3" x14ac:dyDescent="0.2">
      <c r="A4729" s="333">
        <v>39087050300</v>
      </c>
      <c r="B4729" t="s">
        <v>1692</v>
      </c>
      <c r="C4729" s="341" t="s">
        <v>4330</v>
      </c>
    </row>
    <row r="4730" spans="1:3" x14ac:dyDescent="0.2">
      <c r="A4730" s="333">
        <v>39087050400</v>
      </c>
      <c r="B4730" t="s">
        <v>1693</v>
      </c>
      <c r="C4730" s="341" t="s">
        <v>5334</v>
      </c>
    </row>
    <row r="4731" spans="1:3" x14ac:dyDescent="0.2">
      <c r="A4731" s="333">
        <v>39087050501</v>
      </c>
      <c r="B4731" t="s">
        <v>5637</v>
      </c>
      <c r="C4731" s="341" t="s">
        <v>5334</v>
      </c>
    </row>
    <row r="4732" spans="1:3" x14ac:dyDescent="0.2">
      <c r="A4732" s="333">
        <v>39087050502</v>
      </c>
      <c r="B4732" t="s">
        <v>5638</v>
      </c>
      <c r="C4732" s="341" t="s">
        <v>5334</v>
      </c>
    </row>
    <row r="4733" spans="1:3" x14ac:dyDescent="0.2">
      <c r="A4733" s="333">
        <v>39087050600</v>
      </c>
      <c r="B4733" t="s">
        <v>1695</v>
      </c>
      <c r="C4733" s="341" t="s">
        <v>5334</v>
      </c>
    </row>
    <row r="4734" spans="1:3" x14ac:dyDescent="0.2">
      <c r="A4734" s="333">
        <v>39087050700</v>
      </c>
      <c r="B4734" t="s">
        <v>1696</v>
      </c>
      <c r="C4734" s="341" t="s">
        <v>5334</v>
      </c>
    </row>
    <row r="4735" spans="1:3" x14ac:dyDescent="0.2">
      <c r="A4735" s="333">
        <v>39087050800</v>
      </c>
      <c r="B4735" t="s">
        <v>1697</v>
      </c>
      <c r="C4735" s="341" t="s">
        <v>5334</v>
      </c>
    </row>
    <row r="4736" spans="1:3" x14ac:dyDescent="0.2">
      <c r="A4736" s="333">
        <v>39087050900</v>
      </c>
      <c r="B4736" t="s">
        <v>1698</v>
      </c>
      <c r="C4736" s="341" t="s">
        <v>5334</v>
      </c>
    </row>
    <row r="4737" spans="1:3" x14ac:dyDescent="0.2">
      <c r="A4737" s="333">
        <v>39087051001</v>
      </c>
      <c r="B4737" t="s">
        <v>1699</v>
      </c>
      <c r="C4737" s="341" t="s">
        <v>5334</v>
      </c>
    </row>
    <row r="4738" spans="1:3" x14ac:dyDescent="0.2">
      <c r="A4738" s="333">
        <v>39087051002</v>
      </c>
      <c r="B4738" t="s">
        <v>1700</v>
      </c>
      <c r="C4738" s="341" t="s">
        <v>4330</v>
      </c>
    </row>
    <row r="4739" spans="1:3" x14ac:dyDescent="0.2">
      <c r="A4739" s="333">
        <v>39087051101</v>
      </c>
      <c r="B4739" t="s">
        <v>5639</v>
      </c>
      <c r="C4739" s="341" t="s">
        <v>5334</v>
      </c>
    </row>
    <row r="4740" spans="1:3" x14ac:dyDescent="0.2">
      <c r="A4740" s="333">
        <v>39087051102</v>
      </c>
      <c r="B4740" t="s">
        <v>5640</v>
      </c>
      <c r="C4740" s="341" t="s">
        <v>5334</v>
      </c>
    </row>
    <row r="4741" spans="1:3" x14ac:dyDescent="0.2">
      <c r="A4741" s="333">
        <v>39087051200</v>
      </c>
      <c r="B4741" t="s">
        <v>1702</v>
      </c>
      <c r="C4741" s="341" t="s">
        <v>5334</v>
      </c>
    </row>
    <row r="4742" spans="1:3" x14ac:dyDescent="0.2">
      <c r="A4742" s="333">
        <v>39087051300</v>
      </c>
      <c r="B4742" t="s">
        <v>1703</v>
      </c>
      <c r="C4742" s="341" t="s">
        <v>5334</v>
      </c>
    </row>
    <row r="4743" spans="1:3" x14ac:dyDescent="0.2">
      <c r="A4743" s="333">
        <v>39087051401</v>
      </c>
      <c r="B4743" t="s">
        <v>1704</v>
      </c>
      <c r="C4743" s="341" t="s">
        <v>5334</v>
      </c>
    </row>
    <row r="4744" spans="1:3" x14ac:dyDescent="0.2">
      <c r="A4744" s="333">
        <v>39087051402</v>
      </c>
      <c r="B4744" t="s">
        <v>1705</v>
      </c>
      <c r="C4744" s="341" t="s">
        <v>5334</v>
      </c>
    </row>
    <row r="4745" spans="1:3" x14ac:dyDescent="0.2">
      <c r="A4745" s="333">
        <v>39089750700</v>
      </c>
      <c r="B4745" t="s">
        <v>1706</v>
      </c>
      <c r="C4745" s="341" t="s">
        <v>4330</v>
      </c>
    </row>
    <row r="4746" spans="1:3" x14ac:dyDescent="0.2">
      <c r="A4746" s="333">
        <v>39089751000</v>
      </c>
      <c r="B4746" t="s">
        <v>1707</v>
      </c>
      <c r="C4746" s="341" t="s">
        <v>5334</v>
      </c>
    </row>
    <row r="4747" spans="1:3" x14ac:dyDescent="0.2">
      <c r="A4747" s="333">
        <v>39089751300</v>
      </c>
      <c r="B4747" t="s">
        <v>1708</v>
      </c>
      <c r="C4747" s="341" t="s">
        <v>5334</v>
      </c>
    </row>
    <row r="4748" spans="1:3" x14ac:dyDescent="0.2">
      <c r="A4748" s="333">
        <v>39089751600</v>
      </c>
      <c r="B4748" t="s">
        <v>1709</v>
      </c>
      <c r="C4748" s="341" t="s">
        <v>5334</v>
      </c>
    </row>
    <row r="4749" spans="1:3" x14ac:dyDescent="0.2">
      <c r="A4749" s="333">
        <v>39089751900</v>
      </c>
      <c r="B4749" t="s">
        <v>1710</v>
      </c>
      <c r="C4749" s="341" t="s">
        <v>5334</v>
      </c>
    </row>
    <row r="4750" spans="1:3" x14ac:dyDescent="0.2">
      <c r="A4750" s="333">
        <v>39089752200</v>
      </c>
      <c r="B4750" t="s">
        <v>1711</v>
      </c>
      <c r="C4750" s="341" t="s">
        <v>5334</v>
      </c>
    </row>
    <row r="4751" spans="1:3" x14ac:dyDescent="0.2">
      <c r="A4751" s="333">
        <v>39089752500</v>
      </c>
      <c r="B4751" t="s">
        <v>1712</v>
      </c>
      <c r="C4751" s="341" t="s">
        <v>4330</v>
      </c>
    </row>
    <row r="4752" spans="1:3" x14ac:dyDescent="0.2">
      <c r="A4752" s="333">
        <v>39089752801</v>
      </c>
      <c r="B4752" t="s">
        <v>5641</v>
      </c>
      <c r="C4752" s="341" t="s">
        <v>5334</v>
      </c>
    </row>
    <row r="4753" spans="1:3" x14ac:dyDescent="0.2">
      <c r="A4753" s="333">
        <v>39089752802</v>
      </c>
      <c r="B4753" t="s">
        <v>5642</v>
      </c>
      <c r="C4753" s="341" t="s">
        <v>5334</v>
      </c>
    </row>
    <row r="4754" spans="1:3" x14ac:dyDescent="0.2">
      <c r="A4754" s="333">
        <v>39089753100</v>
      </c>
      <c r="B4754" t="s">
        <v>1714</v>
      </c>
      <c r="C4754" s="341" t="s">
        <v>5334</v>
      </c>
    </row>
    <row r="4755" spans="1:3" x14ac:dyDescent="0.2">
      <c r="A4755" s="333">
        <v>39089753301</v>
      </c>
      <c r="B4755" t="s">
        <v>5643</v>
      </c>
      <c r="C4755" s="341" t="s">
        <v>5334</v>
      </c>
    </row>
    <row r="4756" spans="1:3" x14ac:dyDescent="0.2">
      <c r="A4756" s="333">
        <v>39089753302</v>
      </c>
      <c r="B4756" t="s">
        <v>5644</v>
      </c>
      <c r="C4756" s="341" t="s">
        <v>5334</v>
      </c>
    </row>
    <row r="4757" spans="1:3" x14ac:dyDescent="0.2">
      <c r="A4757" s="333">
        <v>39089753600</v>
      </c>
      <c r="B4757" t="s">
        <v>1716</v>
      </c>
      <c r="C4757" s="341" t="s">
        <v>5334</v>
      </c>
    </row>
    <row r="4758" spans="1:3" x14ac:dyDescent="0.2">
      <c r="A4758" s="333">
        <v>39089753900</v>
      </c>
      <c r="B4758" t="s">
        <v>1717</v>
      </c>
      <c r="C4758" s="341" t="s">
        <v>5334</v>
      </c>
    </row>
    <row r="4759" spans="1:3" x14ac:dyDescent="0.2">
      <c r="A4759" s="333">
        <v>39089754102</v>
      </c>
      <c r="B4759" t="s">
        <v>1719</v>
      </c>
      <c r="C4759" s="341" t="s">
        <v>5334</v>
      </c>
    </row>
    <row r="4760" spans="1:3" x14ac:dyDescent="0.2">
      <c r="A4760" s="333">
        <v>39089754103</v>
      </c>
      <c r="B4760" t="s">
        <v>5645</v>
      </c>
      <c r="C4760" s="341" t="s">
        <v>5334</v>
      </c>
    </row>
    <row r="4761" spans="1:3" x14ac:dyDescent="0.2">
      <c r="A4761" s="333">
        <v>39089754104</v>
      </c>
      <c r="B4761" t="s">
        <v>5646</v>
      </c>
      <c r="C4761" s="341" t="s">
        <v>5334</v>
      </c>
    </row>
    <row r="4762" spans="1:3" x14ac:dyDescent="0.2">
      <c r="A4762" s="333">
        <v>39089754400</v>
      </c>
      <c r="B4762" t="s">
        <v>1720</v>
      </c>
      <c r="C4762" s="341" t="s">
        <v>5334</v>
      </c>
    </row>
    <row r="4763" spans="1:3" x14ac:dyDescent="0.2">
      <c r="A4763" s="333">
        <v>39089754700</v>
      </c>
      <c r="B4763" t="s">
        <v>1721</v>
      </c>
      <c r="C4763" s="341" t="s">
        <v>5334</v>
      </c>
    </row>
    <row r="4764" spans="1:3" x14ac:dyDescent="0.2">
      <c r="A4764" s="333">
        <v>39089755000</v>
      </c>
      <c r="B4764" t="s">
        <v>1722</v>
      </c>
      <c r="C4764" s="341" t="s">
        <v>5334</v>
      </c>
    </row>
    <row r="4765" spans="1:3" x14ac:dyDescent="0.2">
      <c r="A4765" s="333">
        <v>39089755301</v>
      </c>
      <c r="B4765" t="s">
        <v>5647</v>
      </c>
      <c r="C4765" s="341" t="s">
        <v>5334</v>
      </c>
    </row>
    <row r="4766" spans="1:3" x14ac:dyDescent="0.2">
      <c r="A4766" s="333">
        <v>39089755302</v>
      </c>
      <c r="B4766" t="s">
        <v>5648</v>
      </c>
      <c r="C4766" s="341" t="s">
        <v>5334</v>
      </c>
    </row>
    <row r="4767" spans="1:3" x14ac:dyDescent="0.2">
      <c r="A4767" s="333">
        <v>39089755601</v>
      </c>
      <c r="B4767" t="s">
        <v>5649</v>
      </c>
      <c r="C4767" s="341" t="s">
        <v>5334</v>
      </c>
    </row>
    <row r="4768" spans="1:3" x14ac:dyDescent="0.2">
      <c r="A4768" s="333">
        <v>39089755602</v>
      </c>
      <c r="B4768" t="s">
        <v>5650</v>
      </c>
      <c r="C4768" s="341" t="s">
        <v>5334</v>
      </c>
    </row>
    <row r="4769" spans="1:3" x14ac:dyDescent="0.2">
      <c r="A4769" s="333">
        <v>39089755901</v>
      </c>
      <c r="B4769" t="s">
        <v>5651</v>
      </c>
      <c r="C4769" s="341" t="s">
        <v>5334</v>
      </c>
    </row>
    <row r="4770" spans="1:3" x14ac:dyDescent="0.2">
      <c r="A4770" s="333">
        <v>39089755902</v>
      </c>
      <c r="B4770" t="s">
        <v>5652</v>
      </c>
      <c r="C4770" s="341" t="s">
        <v>5334</v>
      </c>
    </row>
    <row r="4771" spans="1:3" x14ac:dyDescent="0.2">
      <c r="A4771" s="333">
        <v>39089756201</v>
      </c>
      <c r="B4771" t="s">
        <v>1726</v>
      </c>
      <c r="C4771" s="341" t="s">
        <v>5334</v>
      </c>
    </row>
    <row r="4772" spans="1:3" x14ac:dyDescent="0.2">
      <c r="A4772" s="333">
        <v>39089756203</v>
      </c>
      <c r="B4772" t="s">
        <v>5653</v>
      </c>
      <c r="C4772" s="341" t="s">
        <v>5334</v>
      </c>
    </row>
    <row r="4773" spans="1:3" x14ac:dyDescent="0.2">
      <c r="A4773" s="333">
        <v>39089756204</v>
      </c>
      <c r="B4773" t="s">
        <v>5654</v>
      </c>
      <c r="C4773" s="341" t="s">
        <v>5334</v>
      </c>
    </row>
    <row r="4774" spans="1:3" x14ac:dyDescent="0.2">
      <c r="A4774" s="333">
        <v>39089756500</v>
      </c>
      <c r="B4774" t="s">
        <v>1728</v>
      </c>
      <c r="C4774" s="341" t="s">
        <v>5334</v>
      </c>
    </row>
    <row r="4775" spans="1:3" x14ac:dyDescent="0.2">
      <c r="A4775" s="333">
        <v>39089756801</v>
      </c>
      <c r="B4775" t="s">
        <v>5655</v>
      </c>
      <c r="C4775" s="341" t="s">
        <v>5334</v>
      </c>
    </row>
    <row r="4776" spans="1:3" x14ac:dyDescent="0.2">
      <c r="A4776" s="333">
        <v>39089756802</v>
      </c>
      <c r="B4776" t="s">
        <v>5656</v>
      </c>
      <c r="C4776" s="341" t="s">
        <v>5334</v>
      </c>
    </row>
    <row r="4777" spans="1:3" x14ac:dyDescent="0.2">
      <c r="A4777" s="333">
        <v>39089756803</v>
      </c>
      <c r="B4777" t="s">
        <v>5657</v>
      </c>
      <c r="C4777" s="341" t="s">
        <v>5334</v>
      </c>
    </row>
    <row r="4778" spans="1:3" x14ac:dyDescent="0.2">
      <c r="A4778" s="333">
        <v>39089757100</v>
      </c>
      <c r="B4778" t="s">
        <v>1730</v>
      </c>
      <c r="C4778" s="341" t="s">
        <v>5334</v>
      </c>
    </row>
    <row r="4779" spans="1:3" x14ac:dyDescent="0.2">
      <c r="A4779" s="333">
        <v>39089757401</v>
      </c>
      <c r="B4779" t="s">
        <v>5658</v>
      </c>
      <c r="C4779" s="341" t="s">
        <v>5334</v>
      </c>
    </row>
    <row r="4780" spans="1:3" x14ac:dyDescent="0.2">
      <c r="A4780" s="333">
        <v>39089757402</v>
      </c>
      <c r="B4780" t="s">
        <v>5659</v>
      </c>
      <c r="C4780" s="341" t="s">
        <v>5334</v>
      </c>
    </row>
    <row r="4781" spans="1:3" x14ac:dyDescent="0.2">
      <c r="A4781" s="333">
        <v>39089757701</v>
      </c>
      <c r="B4781" t="s">
        <v>5660</v>
      </c>
      <c r="C4781" s="341" t="s">
        <v>5334</v>
      </c>
    </row>
    <row r="4782" spans="1:3" x14ac:dyDescent="0.2">
      <c r="A4782" s="333">
        <v>39089757702</v>
      </c>
      <c r="B4782" t="s">
        <v>5661</v>
      </c>
      <c r="C4782" s="341" t="s">
        <v>5334</v>
      </c>
    </row>
    <row r="4783" spans="1:3" x14ac:dyDescent="0.2">
      <c r="A4783" s="333">
        <v>39089758300</v>
      </c>
      <c r="B4783" t="s">
        <v>1733</v>
      </c>
      <c r="C4783" s="341" t="s">
        <v>5334</v>
      </c>
    </row>
    <row r="4784" spans="1:3" x14ac:dyDescent="0.2">
      <c r="A4784" s="333">
        <v>39089758601</v>
      </c>
      <c r="B4784" t="s">
        <v>5662</v>
      </c>
      <c r="C4784" s="341" t="s">
        <v>5334</v>
      </c>
    </row>
    <row r="4785" spans="1:3" x14ac:dyDescent="0.2">
      <c r="A4785" s="333">
        <v>39089758602</v>
      </c>
      <c r="B4785" t="s">
        <v>5663</v>
      </c>
      <c r="C4785" s="341" t="s">
        <v>5334</v>
      </c>
    </row>
    <row r="4786" spans="1:3" x14ac:dyDescent="0.2">
      <c r="A4786" s="333">
        <v>39089758901</v>
      </c>
      <c r="B4786" t="s">
        <v>5664</v>
      </c>
      <c r="C4786" s="341" t="s">
        <v>5334</v>
      </c>
    </row>
    <row r="4787" spans="1:3" x14ac:dyDescent="0.2">
      <c r="A4787" s="333">
        <v>39089758902</v>
      </c>
      <c r="B4787" t="s">
        <v>5665</v>
      </c>
      <c r="C4787" s="341" t="s">
        <v>5334</v>
      </c>
    </row>
    <row r="4788" spans="1:3" x14ac:dyDescent="0.2">
      <c r="A4788" s="333">
        <v>39089759000</v>
      </c>
      <c r="B4788" t="s">
        <v>1736</v>
      </c>
      <c r="C4788" s="341" t="s">
        <v>4330</v>
      </c>
    </row>
    <row r="4789" spans="1:3" x14ac:dyDescent="0.2">
      <c r="A4789" s="333">
        <v>39089759101</v>
      </c>
      <c r="B4789" t="s">
        <v>5666</v>
      </c>
      <c r="C4789" s="341" t="s">
        <v>5334</v>
      </c>
    </row>
    <row r="4790" spans="1:3" x14ac:dyDescent="0.2">
      <c r="A4790" s="333">
        <v>39089759102</v>
      </c>
      <c r="B4790" t="s">
        <v>5667</v>
      </c>
      <c r="C4790" s="341" t="s">
        <v>5334</v>
      </c>
    </row>
    <row r="4791" spans="1:3" x14ac:dyDescent="0.2">
      <c r="A4791" s="333">
        <v>39091003800</v>
      </c>
      <c r="B4791" t="s">
        <v>1738</v>
      </c>
      <c r="C4791" s="341" t="s">
        <v>5334</v>
      </c>
    </row>
    <row r="4792" spans="1:3" x14ac:dyDescent="0.2">
      <c r="A4792" s="333">
        <v>39091003900</v>
      </c>
      <c r="B4792" t="s">
        <v>1739</v>
      </c>
      <c r="C4792" s="341" t="s">
        <v>5334</v>
      </c>
    </row>
    <row r="4793" spans="1:3" x14ac:dyDescent="0.2">
      <c r="A4793" s="333">
        <v>39091004000</v>
      </c>
      <c r="B4793" t="s">
        <v>1740</v>
      </c>
      <c r="C4793" s="341" t="s">
        <v>5334</v>
      </c>
    </row>
    <row r="4794" spans="1:3" x14ac:dyDescent="0.2">
      <c r="A4794" s="333">
        <v>39091004100</v>
      </c>
      <c r="B4794" t="s">
        <v>1741</v>
      </c>
      <c r="C4794" s="341" t="s">
        <v>5334</v>
      </c>
    </row>
    <row r="4795" spans="1:3" x14ac:dyDescent="0.2">
      <c r="A4795" s="333">
        <v>39091004200</v>
      </c>
      <c r="B4795" t="s">
        <v>1742</v>
      </c>
      <c r="C4795" s="341" t="s">
        <v>4330</v>
      </c>
    </row>
    <row r="4796" spans="1:3" x14ac:dyDescent="0.2">
      <c r="A4796" s="333">
        <v>39091004300</v>
      </c>
      <c r="B4796" t="s">
        <v>1743</v>
      </c>
      <c r="C4796" s="341" t="s">
        <v>5334</v>
      </c>
    </row>
    <row r="4797" spans="1:3" x14ac:dyDescent="0.2">
      <c r="A4797" s="333">
        <v>39091004400</v>
      </c>
      <c r="B4797" t="s">
        <v>1744</v>
      </c>
      <c r="C4797" s="341" t="s">
        <v>5334</v>
      </c>
    </row>
    <row r="4798" spans="1:3" x14ac:dyDescent="0.2">
      <c r="A4798" s="333">
        <v>39091004500</v>
      </c>
      <c r="B4798" t="s">
        <v>1745</v>
      </c>
      <c r="C4798" s="341" t="s">
        <v>5334</v>
      </c>
    </row>
    <row r="4799" spans="1:3" x14ac:dyDescent="0.2">
      <c r="A4799" s="333">
        <v>39091004600</v>
      </c>
      <c r="B4799" t="s">
        <v>1746</v>
      </c>
      <c r="C4799" s="341" t="s">
        <v>5334</v>
      </c>
    </row>
    <row r="4800" spans="1:3" x14ac:dyDescent="0.2">
      <c r="A4800" s="333">
        <v>39091004700</v>
      </c>
      <c r="B4800" t="s">
        <v>1747</v>
      </c>
      <c r="C4800" s="341" t="s">
        <v>5334</v>
      </c>
    </row>
    <row r="4801" spans="1:3" x14ac:dyDescent="0.2">
      <c r="A4801" s="333">
        <v>39091004800</v>
      </c>
      <c r="B4801" t="s">
        <v>1748</v>
      </c>
      <c r="C4801" s="341" t="s">
        <v>5334</v>
      </c>
    </row>
    <row r="4802" spans="1:3" x14ac:dyDescent="0.2">
      <c r="A4802" s="333">
        <v>39093010200</v>
      </c>
      <c r="B4802" t="s">
        <v>1749</v>
      </c>
      <c r="C4802" s="341" t="s">
        <v>5334</v>
      </c>
    </row>
    <row r="4803" spans="1:3" x14ac:dyDescent="0.2">
      <c r="A4803" s="333">
        <v>39093010300</v>
      </c>
      <c r="B4803" t="s">
        <v>1750</v>
      </c>
      <c r="C4803" s="341" t="s">
        <v>5334</v>
      </c>
    </row>
    <row r="4804" spans="1:3" x14ac:dyDescent="0.2">
      <c r="A4804" s="333">
        <v>39093010400</v>
      </c>
      <c r="B4804" t="s">
        <v>1751</v>
      </c>
      <c r="C4804" s="341" t="s">
        <v>5334</v>
      </c>
    </row>
    <row r="4805" spans="1:3" x14ac:dyDescent="0.2">
      <c r="A4805" s="333">
        <v>39093013101</v>
      </c>
      <c r="B4805" t="s">
        <v>5668</v>
      </c>
      <c r="C4805" s="341" t="s">
        <v>5334</v>
      </c>
    </row>
    <row r="4806" spans="1:3" x14ac:dyDescent="0.2">
      <c r="A4806" s="333">
        <v>39093013102</v>
      </c>
      <c r="B4806" t="s">
        <v>5669</v>
      </c>
      <c r="C4806" s="341" t="s">
        <v>5334</v>
      </c>
    </row>
    <row r="4807" spans="1:3" x14ac:dyDescent="0.2">
      <c r="A4807" s="333">
        <v>39093013201</v>
      </c>
      <c r="B4807" t="s">
        <v>5670</v>
      </c>
      <c r="C4807" s="341" t="s">
        <v>5334</v>
      </c>
    </row>
    <row r="4808" spans="1:3" x14ac:dyDescent="0.2">
      <c r="A4808" s="333">
        <v>39093013202</v>
      </c>
      <c r="B4808" t="s">
        <v>5671</v>
      </c>
      <c r="C4808" s="341" t="s">
        <v>5334</v>
      </c>
    </row>
    <row r="4809" spans="1:3" x14ac:dyDescent="0.2">
      <c r="A4809" s="333">
        <v>39093021100</v>
      </c>
      <c r="B4809" t="s">
        <v>1754</v>
      </c>
      <c r="C4809" s="341" t="s">
        <v>5334</v>
      </c>
    </row>
    <row r="4810" spans="1:3" x14ac:dyDescent="0.2">
      <c r="A4810" s="333">
        <v>39093021200</v>
      </c>
      <c r="B4810" t="s">
        <v>1755</v>
      </c>
      <c r="C4810" s="341" t="s">
        <v>5334</v>
      </c>
    </row>
    <row r="4811" spans="1:3" x14ac:dyDescent="0.2">
      <c r="A4811" s="333">
        <v>39093022100</v>
      </c>
      <c r="B4811" t="s">
        <v>1756</v>
      </c>
      <c r="C4811" s="341" t="s">
        <v>5334</v>
      </c>
    </row>
    <row r="4812" spans="1:3" x14ac:dyDescent="0.2">
      <c r="A4812" s="333">
        <v>39093022200</v>
      </c>
      <c r="B4812" t="s">
        <v>1757</v>
      </c>
      <c r="C4812" s="341" t="s">
        <v>4330</v>
      </c>
    </row>
    <row r="4813" spans="1:3" x14ac:dyDescent="0.2">
      <c r="A4813" s="333">
        <v>39093022400</v>
      </c>
      <c r="B4813" t="s">
        <v>1758</v>
      </c>
      <c r="C4813" s="341" t="s">
        <v>4330</v>
      </c>
    </row>
    <row r="4814" spans="1:3" x14ac:dyDescent="0.2">
      <c r="A4814" s="333">
        <v>39093022500</v>
      </c>
      <c r="B4814" t="s">
        <v>1759</v>
      </c>
      <c r="C4814" s="341" t="s">
        <v>5334</v>
      </c>
    </row>
    <row r="4815" spans="1:3" x14ac:dyDescent="0.2">
      <c r="A4815" s="333">
        <v>39093022601</v>
      </c>
      <c r="B4815" t="s">
        <v>1760</v>
      </c>
      <c r="C4815" s="341" t="s">
        <v>4330</v>
      </c>
    </row>
    <row r="4816" spans="1:3" x14ac:dyDescent="0.2">
      <c r="A4816" s="333">
        <v>39093022800</v>
      </c>
      <c r="B4816" t="s">
        <v>1761</v>
      </c>
      <c r="C4816" s="341" t="s">
        <v>4330</v>
      </c>
    </row>
    <row r="4817" spans="1:3" x14ac:dyDescent="0.2">
      <c r="A4817" s="333">
        <v>39093023000</v>
      </c>
      <c r="B4817" t="s">
        <v>1762</v>
      </c>
      <c r="C4817" s="341" t="s">
        <v>4330</v>
      </c>
    </row>
    <row r="4818" spans="1:3" x14ac:dyDescent="0.2">
      <c r="A4818" s="333">
        <v>39093023100</v>
      </c>
      <c r="B4818" t="s">
        <v>1763</v>
      </c>
      <c r="C4818" s="341" t="s">
        <v>4330</v>
      </c>
    </row>
    <row r="4819" spans="1:3" x14ac:dyDescent="0.2">
      <c r="A4819" s="333">
        <v>39093023200</v>
      </c>
      <c r="B4819" t="s">
        <v>1764</v>
      </c>
      <c r="C4819" s="341" t="s">
        <v>4330</v>
      </c>
    </row>
    <row r="4820" spans="1:3" x14ac:dyDescent="0.2">
      <c r="A4820" s="333">
        <v>39093023300</v>
      </c>
      <c r="B4820" t="s">
        <v>1765</v>
      </c>
      <c r="C4820" s="341" t="s">
        <v>4330</v>
      </c>
    </row>
    <row r="4821" spans="1:3" x14ac:dyDescent="0.2">
      <c r="A4821" s="333">
        <v>39093023400</v>
      </c>
      <c r="B4821" t="s">
        <v>1766</v>
      </c>
      <c r="C4821" s="341" t="s">
        <v>5334</v>
      </c>
    </row>
    <row r="4822" spans="1:3" x14ac:dyDescent="0.2">
      <c r="A4822" s="333">
        <v>39093023500</v>
      </c>
      <c r="B4822" t="s">
        <v>1767</v>
      </c>
      <c r="C4822" s="341" t="s">
        <v>5334</v>
      </c>
    </row>
    <row r="4823" spans="1:3" x14ac:dyDescent="0.2">
      <c r="A4823" s="333">
        <v>39093023600</v>
      </c>
      <c r="B4823" t="s">
        <v>1768</v>
      </c>
      <c r="C4823" s="341" t="s">
        <v>5334</v>
      </c>
    </row>
    <row r="4824" spans="1:3" x14ac:dyDescent="0.2">
      <c r="A4824" s="333">
        <v>39093023900</v>
      </c>
      <c r="B4824" t="s">
        <v>1771</v>
      </c>
      <c r="C4824" s="341" t="s">
        <v>5334</v>
      </c>
    </row>
    <row r="4825" spans="1:3" x14ac:dyDescent="0.2">
      <c r="A4825" s="333">
        <v>39093024000</v>
      </c>
      <c r="B4825" t="s">
        <v>1772</v>
      </c>
      <c r="C4825" s="341" t="s">
        <v>4330</v>
      </c>
    </row>
    <row r="4826" spans="1:3" x14ac:dyDescent="0.2">
      <c r="A4826" s="333">
        <v>39093024100</v>
      </c>
      <c r="B4826" t="s">
        <v>1773</v>
      </c>
      <c r="C4826" s="341" t="s">
        <v>5334</v>
      </c>
    </row>
    <row r="4827" spans="1:3" x14ac:dyDescent="0.2">
      <c r="A4827" s="333">
        <v>39093024200</v>
      </c>
      <c r="B4827" t="s">
        <v>1774</v>
      </c>
      <c r="C4827" s="341" t="s">
        <v>5334</v>
      </c>
    </row>
    <row r="4828" spans="1:3" x14ac:dyDescent="0.2">
      <c r="A4828" s="333">
        <v>39093028100</v>
      </c>
      <c r="B4828" t="s">
        <v>1775</v>
      </c>
      <c r="C4828" s="341" t="s">
        <v>5334</v>
      </c>
    </row>
    <row r="4829" spans="1:3" x14ac:dyDescent="0.2">
      <c r="A4829" s="333">
        <v>39093030101</v>
      </c>
      <c r="B4829" t="s">
        <v>5672</v>
      </c>
      <c r="C4829" s="341" t="s">
        <v>5334</v>
      </c>
    </row>
    <row r="4830" spans="1:3" x14ac:dyDescent="0.2">
      <c r="A4830" s="333">
        <v>39093030102</v>
      </c>
      <c r="B4830" t="s">
        <v>5673</v>
      </c>
      <c r="C4830" s="341" t="s">
        <v>5334</v>
      </c>
    </row>
    <row r="4831" spans="1:3" x14ac:dyDescent="0.2">
      <c r="A4831" s="333">
        <v>39093050100</v>
      </c>
      <c r="B4831" t="s">
        <v>1777</v>
      </c>
      <c r="C4831" s="341" t="s">
        <v>5334</v>
      </c>
    </row>
    <row r="4832" spans="1:3" x14ac:dyDescent="0.2">
      <c r="A4832" s="333">
        <v>39093050200</v>
      </c>
      <c r="B4832" t="s">
        <v>1778</v>
      </c>
      <c r="C4832" s="341" t="s">
        <v>5334</v>
      </c>
    </row>
    <row r="4833" spans="1:3" x14ac:dyDescent="0.2">
      <c r="A4833" s="333">
        <v>39093050301</v>
      </c>
      <c r="B4833" t="s">
        <v>5674</v>
      </c>
      <c r="C4833" s="341" t="s">
        <v>5334</v>
      </c>
    </row>
    <row r="4834" spans="1:3" x14ac:dyDescent="0.2">
      <c r="A4834" s="333">
        <v>39093050302</v>
      </c>
      <c r="B4834" t="s">
        <v>5675</v>
      </c>
      <c r="C4834" s="341" t="s">
        <v>5334</v>
      </c>
    </row>
    <row r="4835" spans="1:3" x14ac:dyDescent="0.2">
      <c r="A4835" s="333">
        <v>39093050400</v>
      </c>
      <c r="B4835" t="s">
        <v>1780</v>
      </c>
      <c r="C4835" s="341" t="s">
        <v>5334</v>
      </c>
    </row>
    <row r="4836" spans="1:3" x14ac:dyDescent="0.2">
      <c r="A4836" s="333">
        <v>39093057100</v>
      </c>
      <c r="B4836" t="s">
        <v>1781</v>
      </c>
      <c r="C4836" s="341" t="s">
        <v>5334</v>
      </c>
    </row>
    <row r="4837" spans="1:3" x14ac:dyDescent="0.2">
      <c r="A4837" s="333">
        <v>39093060100</v>
      </c>
      <c r="B4837" t="s">
        <v>1782</v>
      </c>
      <c r="C4837" s="341" t="s">
        <v>5334</v>
      </c>
    </row>
    <row r="4838" spans="1:3" x14ac:dyDescent="0.2">
      <c r="A4838" s="333">
        <v>39093060200</v>
      </c>
      <c r="B4838" t="s">
        <v>1783</v>
      </c>
      <c r="C4838" s="341" t="s">
        <v>5334</v>
      </c>
    </row>
    <row r="4839" spans="1:3" x14ac:dyDescent="0.2">
      <c r="A4839" s="333">
        <v>39093070101</v>
      </c>
      <c r="B4839" t="s">
        <v>1784</v>
      </c>
      <c r="C4839" s="341" t="s">
        <v>5334</v>
      </c>
    </row>
    <row r="4840" spans="1:3" x14ac:dyDescent="0.2">
      <c r="A4840" s="333">
        <v>39093070102</v>
      </c>
      <c r="B4840" t="s">
        <v>1785</v>
      </c>
      <c r="C4840" s="341" t="s">
        <v>5334</v>
      </c>
    </row>
    <row r="4841" spans="1:3" x14ac:dyDescent="0.2">
      <c r="A4841" s="333">
        <v>39093070200</v>
      </c>
      <c r="B4841" t="s">
        <v>1786</v>
      </c>
      <c r="C4841" s="341" t="s">
        <v>5334</v>
      </c>
    </row>
    <row r="4842" spans="1:3" x14ac:dyDescent="0.2">
      <c r="A4842" s="333">
        <v>39093070300</v>
      </c>
      <c r="B4842" t="s">
        <v>1787</v>
      </c>
      <c r="C4842" s="341" t="s">
        <v>5334</v>
      </c>
    </row>
    <row r="4843" spans="1:3" x14ac:dyDescent="0.2">
      <c r="A4843" s="333">
        <v>39093070400</v>
      </c>
      <c r="B4843" t="s">
        <v>1788</v>
      </c>
      <c r="C4843" s="341" t="s">
        <v>4330</v>
      </c>
    </row>
    <row r="4844" spans="1:3" x14ac:dyDescent="0.2">
      <c r="A4844" s="333">
        <v>39093070500</v>
      </c>
      <c r="B4844" t="s">
        <v>1789</v>
      </c>
      <c r="C4844" s="341" t="s">
        <v>4330</v>
      </c>
    </row>
    <row r="4845" spans="1:3" x14ac:dyDescent="0.2">
      <c r="A4845" s="333">
        <v>39093070600</v>
      </c>
      <c r="B4845" t="s">
        <v>1790</v>
      </c>
      <c r="C4845" s="341" t="s">
        <v>5334</v>
      </c>
    </row>
    <row r="4846" spans="1:3" x14ac:dyDescent="0.2">
      <c r="A4846" s="333">
        <v>39093070700</v>
      </c>
      <c r="B4846" t="s">
        <v>1791</v>
      </c>
      <c r="C4846" s="341" t="s">
        <v>5334</v>
      </c>
    </row>
    <row r="4847" spans="1:3" x14ac:dyDescent="0.2">
      <c r="A4847" s="333">
        <v>39093070901</v>
      </c>
      <c r="B4847" t="s">
        <v>1793</v>
      </c>
      <c r="C4847" s="341" t="s">
        <v>4330</v>
      </c>
    </row>
    <row r="4848" spans="1:3" x14ac:dyDescent="0.2">
      <c r="A4848" s="333">
        <v>39093070902</v>
      </c>
      <c r="B4848" t="s">
        <v>1794</v>
      </c>
      <c r="C4848" s="341" t="s">
        <v>5334</v>
      </c>
    </row>
    <row r="4849" spans="1:3" x14ac:dyDescent="0.2">
      <c r="A4849" s="333">
        <v>39093071100</v>
      </c>
      <c r="B4849" t="s">
        <v>1796</v>
      </c>
      <c r="C4849" s="341" t="s">
        <v>5334</v>
      </c>
    </row>
    <row r="4850" spans="1:3" x14ac:dyDescent="0.2">
      <c r="A4850" s="333">
        <v>39093071201</v>
      </c>
      <c r="B4850" t="s">
        <v>1797</v>
      </c>
      <c r="C4850" s="341" t="s">
        <v>5334</v>
      </c>
    </row>
    <row r="4851" spans="1:3" x14ac:dyDescent="0.2">
      <c r="A4851" s="333">
        <v>39093071202</v>
      </c>
      <c r="B4851" t="s">
        <v>1798</v>
      </c>
      <c r="C4851" s="341" t="s">
        <v>5334</v>
      </c>
    </row>
    <row r="4852" spans="1:3" x14ac:dyDescent="0.2">
      <c r="A4852" s="333">
        <v>39093071300</v>
      </c>
      <c r="B4852" t="s">
        <v>1799</v>
      </c>
      <c r="C4852" s="341" t="s">
        <v>5334</v>
      </c>
    </row>
    <row r="4853" spans="1:3" x14ac:dyDescent="0.2">
      <c r="A4853" s="333">
        <v>39093071400</v>
      </c>
      <c r="B4853" t="s">
        <v>1800</v>
      </c>
      <c r="C4853" s="341" t="s">
        <v>4330</v>
      </c>
    </row>
    <row r="4854" spans="1:3" x14ac:dyDescent="0.2">
      <c r="A4854" s="333">
        <v>39093071500</v>
      </c>
      <c r="B4854" t="s">
        <v>1801</v>
      </c>
      <c r="C4854" s="341" t="s">
        <v>5334</v>
      </c>
    </row>
    <row r="4855" spans="1:3" x14ac:dyDescent="0.2">
      <c r="A4855" s="333">
        <v>39093077100</v>
      </c>
      <c r="B4855" t="s">
        <v>1802</v>
      </c>
      <c r="C4855" s="341" t="s">
        <v>5334</v>
      </c>
    </row>
    <row r="4856" spans="1:3" x14ac:dyDescent="0.2">
      <c r="A4856" s="333">
        <v>39093080101</v>
      </c>
      <c r="B4856" t="s">
        <v>1803</v>
      </c>
      <c r="C4856" s="341" t="s">
        <v>5334</v>
      </c>
    </row>
    <row r="4857" spans="1:3" x14ac:dyDescent="0.2">
      <c r="A4857" s="333">
        <v>39093080103</v>
      </c>
      <c r="B4857" t="s">
        <v>1804</v>
      </c>
      <c r="C4857" s="341" t="s">
        <v>5334</v>
      </c>
    </row>
    <row r="4858" spans="1:3" x14ac:dyDescent="0.2">
      <c r="A4858" s="333">
        <v>39093080104</v>
      </c>
      <c r="B4858" t="s">
        <v>1805</v>
      </c>
      <c r="C4858" s="341" t="s">
        <v>5334</v>
      </c>
    </row>
    <row r="4859" spans="1:3" x14ac:dyDescent="0.2">
      <c r="A4859" s="333">
        <v>39093080500</v>
      </c>
      <c r="B4859" t="s">
        <v>1806</v>
      </c>
      <c r="C4859" s="341" t="s">
        <v>5334</v>
      </c>
    </row>
    <row r="4860" spans="1:3" x14ac:dyDescent="0.2">
      <c r="A4860" s="333">
        <v>39093080600</v>
      </c>
      <c r="B4860" t="s">
        <v>1807</v>
      </c>
      <c r="C4860" s="341" t="s">
        <v>5334</v>
      </c>
    </row>
    <row r="4861" spans="1:3" x14ac:dyDescent="0.2">
      <c r="A4861" s="333">
        <v>39093080701</v>
      </c>
      <c r="B4861" t="s">
        <v>5676</v>
      </c>
      <c r="C4861" s="341" t="s">
        <v>5334</v>
      </c>
    </row>
    <row r="4862" spans="1:3" x14ac:dyDescent="0.2">
      <c r="A4862" s="333">
        <v>39093080702</v>
      </c>
      <c r="B4862" t="s">
        <v>5677</v>
      </c>
      <c r="C4862" s="341" t="s">
        <v>5334</v>
      </c>
    </row>
    <row r="4863" spans="1:3" x14ac:dyDescent="0.2">
      <c r="A4863" s="333">
        <v>39093090100</v>
      </c>
      <c r="B4863" t="s">
        <v>1809</v>
      </c>
      <c r="C4863" s="341" t="s">
        <v>5334</v>
      </c>
    </row>
    <row r="4864" spans="1:3" x14ac:dyDescent="0.2">
      <c r="A4864" s="333">
        <v>39093090200</v>
      </c>
      <c r="B4864" t="s">
        <v>1810</v>
      </c>
      <c r="C4864" s="341" t="s">
        <v>5334</v>
      </c>
    </row>
    <row r="4865" spans="1:3" x14ac:dyDescent="0.2">
      <c r="A4865" s="333">
        <v>39093091100</v>
      </c>
      <c r="B4865" t="s">
        <v>1811</v>
      </c>
      <c r="C4865" s="341" t="s">
        <v>5334</v>
      </c>
    </row>
    <row r="4866" spans="1:3" x14ac:dyDescent="0.2">
      <c r="A4866" s="333">
        <v>39093091200</v>
      </c>
      <c r="B4866" t="s">
        <v>1812</v>
      </c>
      <c r="C4866" s="341" t="s">
        <v>5334</v>
      </c>
    </row>
    <row r="4867" spans="1:3" x14ac:dyDescent="0.2">
      <c r="A4867" s="333">
        <v>39093092100</v>
      </c>
      <c r="B4867" t="s">
        <v>1813</v>
      </c>
      <c r="C4867" s="341" t="s">
        <v>5334</v>
      </c>
    </row>
    <row r="4868" spans="1:3" x14ac:dyDescent="0.2">
      <c r="A4868" s="333">
        <v>39093093100</v>
      </c>
      <c r="B4868" t="s">
        <v>1814</v>
      </c>
      <c r="C4868" s="341" t="s">
        <v>5334</v>
      </c>
    </row>
    <row r="4869" spans="1:3" x14ac:dyDescent="0.2">
      <c r="A4869" s="333">
        <v>39093094101</v>
      </c>
      <c r="B4869" t="s">
        <v>5678</v>
      </c>
      <c r="C4869" s="341" t="s">
        <v>5334</v>
      </c>
    </row>
    <row r="4870" spans="1:3" x14ac:dyDescent="0.2">
      <c r="A4870" s="333">
        <v>39093094102</v>
      </c>
      <c r="B4870" t="s">
        <v>5679</v>
      </c>
      <c r="C4870" s="341" t="s">
        <v>5334</v>
      </c>
    </row>
    <row r="4871" spans="1:3" x14ac:dyDescent="0.2">
      <c r="A4871" s="333">
        <v>39093095100</v>
      </c>
      <c r="B4871" t="s">
        <v>1816</v>
      </c>
      <c r="C4871" s="341" t="s">
        <v>5334</v>
      </c>
    </row>
    <row r="4872" spans="1:3" x14ac:dyDescent="0.2">
      <c r="A4872" s="333">
        <v>39093096100</v>
      </c>
      <c r="B4872" t="s">
        <v>1817</v>
      </c>
      <c r="C4872" s="341" t="s">
        <v>5334</v>
      </c>
    </row>
    <row r="4873" spans="1:3" x14ac:dyDescent="0.2">
      <c r="A4873" s="333">
        <v>39093097100</v>
      </c>
      <c r="B4873" t="s">
        <v>1818</v>
      </c>
      <c r="C4873" s="341" t="s">
        <v>5334</v>
      </c>
    </row>
    <row r="4874" spans="1:3" x14ac:dyDescent="0.2">
      <c r="A4874" s="333">
        <v>39093097201</v>
      </c>
      <c r="B4874" t="s">
        <v>5680</v>
      </c>
      <c r="C4874" s="341" t="s">
        <v>5334</v>
      </c>
    </row>
    <row r="4875" spans="1:3" x14ac:dyDescent="0.2">
      <c r="A4875" s="333">
        <v>39093097202</v>
      </c>
      <c r="B4875" t="s">
        <v>5681</v>
      </c>
      <c r="C4875" s="341" t="s">
        <v>5334</v>
      </c>
    </row>
    <row r="4876" spans="1:3" x14ac:dyDescent="0.2">
      <c r="A4876" s="333">
        <v>39093097300</v>
      </c>
      <c r="B4876" t="s">
        <v>1820</v>
      </c>
      <c r="C4876" s="341" t="s">
        <v>4330</v>
      </c>
    </row>
    <row r="4877" spans="1:3" x14ac:dyDescent="0.2">
      <c r="A4877" s="333">
        <v>39093097401</v>
      </c>
      <c r="B4877" t="s">
        <v>5682</v>
      </c>
      <c r="C4877" s="341" t="s">
        <v>5334</v>
      </c>
    </row>
    <row r="4878" spans="1:3" x14ac:dyDescent="0.2">
      <c r="A4878" s="333">
        <v>39093097402</v>
      </c>
      <c r="B4878" t="s">
        <v>5683</v>
      </c>
      <c r="C4878" s="341" t="s">
        <v>5334</v>
      </c>
    </row>
    <row r="4879" spans="1:3" x14ac:dyDescent="0.2">
      <c r="A4879" s="333">
        <v>39093097500</v>
      </c>
      <c r="B4879" t="s">
        <v>5684</v>
      </c>
      <c r="C4879" s="341" t="s">
        <v>4330</v>
      </c>
    </row>
    <row r="4880" spans="1:3" x14ac:dyDescent="0.2">
      <c r="A4880" s="333">
        <v>39093097600</v>
      </c>
      <c r="B4880" t="s">
        <v>5685</v>
      </c>
      <c r="C4880" s="341" t="s">
        <v>4330</v>
      </c>
    </row>
    <row r="4881" spans="1:3" x14ac:dyDescent="0.2">
      <c r="A4881" s="333">
        <v>39093990200</v>
      </c>
      <c r="B4881" t="s">
        <v>5686</v>
      </c>
      <c r="C4881" s="341" t="s">
        <v>5334</v>
      </c>
    </row>
    <row r="4882" spans="1:3" x14ac:dyDescent="0.2">
      <c r="A4882" s="333">
        <v>39095000201</v>
      </c>
      <c r="B4882" t="s">
        <v>5687</v>
      </c>
      <c r="C4882" s="341" t="s">
        <v>5334</v>
      </c>
    </row>
    <row r="4883" spans="1:3" x14ac:dyDescent="0.2">
      <c r="A4883" s="333">
        <v>39095000202</v>
      </c>
      <c r="B4883" t="s">
        <v>5688</v>
      </c>
      <c r="C4883" s="341" t="s">
        <v>5334</v>
      </c>
    </row>
    <row r="4884" spans="1:3" x14ac:dyDescent="0.2">
      <c r="A4884" s="333">
        <v>39095000301</v>
      </c>
      <c r="B4884" t="s">
        <v>5689</v>
      </c>
      <c r="C4884" s="341" t="s">
        <v>5334</v>
      </c>
    </row>
    <row r="4885" spans="1:3" x14ac:dyDescent="0.2">
      <c r="A4885" s="333">
        <v>39095000302</v>
      </c>
      <c r="B4885" t="s">
        <v>5690</v>
      </c>
      <c r="C4885" s="341" t="s">
        <v>5334</v>
      </c>
    </row>
    <row r="4886" spans="1:3" x14ac:dyDescent="0.2">
      <c r="A4886" s="333">
        <v>39095000400</v>
      </c>
      <c r="B4886" t="s">
        <v>1824</v>
      </c>
      <c r="C4886" s="341" t="s">
        <v>5334</v>
      </c>
    </row>
    <row r="4887" spans="1:3" x14ac:dyDescent="0.2">
      <c r="A4887" s="333">
        <v>39095000601</v>
      </c>
      <c r="B4887" t="s">
        <v>5691</v>
      </c>
      <c r="C4887" s="341" t="s">
        <v>5334</v>
      </c>
    </row>
    <row r="4888" spans="1:3" x14ac:dyDescent="0.2">
      <c r="A4888" s="333">
        <v>39095000602</v>
      </c>
      <c r="B4888" t="s">
        <v>5692</v>
      </c>
      <c r="C4888" s="341" t="s">
        <v>5334</v>
      </c>
    </row>
    <row r="4889" spans="1:3" x14ac:dyDescent="0.2">
      <c r="A4889" s="333">
        <v>39095000701</v>
      </c>
      <c r="B4889" t="s">
        <v>5693</v>
      </c>
      <c r="C4889" s="341" t="s">
        <v>4330</v>
      </c>
    </row>
    <row r="4890" spans="1:3" x14ac:dyDescent="0.2">
      <c r="A4890" s="333">
        <v>39095000702</v>
      </c>
      <c r="B4890" t="s">
        <v>5694</v>
      </c>
      <c r="C4890" s="341" t="s">
        <v>4330</v>
      </c>
    </row>
    <row r="4891" spans="1:3" x14ac:dyDescent="0.2">
      <c r="A4891" s="333">
        <v>39095000703</v>
      </c>
      <c r="B4891" t="s">
        <v>5695</v>
      </c>
      <c r="C4891" s="341" t="s">
        <v>5334</v>
      </c>
    </row>
    <row r="4892" spans="1:3" x14ac:dyDescent="0.2">
      <c r="A4892" s="333">
        <v>39095000800</v>
      </c>
      <c r="B4892" t="s">
        <v>1827</v>
      </c>
      <c r="C4892" s="341" t="s">
        <v>4330</v>
      </c>
    </row>
    <row r="4893" spans="1:3" x14ac:dyDescent="0.2">
      <c r="A4893" s="333">
        <v>39095000900</v>
      </c>
      <c r="B4893" t="s">
        <v>1828</v>
      </c>
      <c r="C4893" s="341" t="s">
        <v>4330</v>
      </c>
    </row>
    <row r="4894" spans="1:3" x14ac:dyDescent="0.2">
      <c r="A4894" s="333">
        <v>39095001001</v>
      </c>
      <c r="B4894" t="s">
        <v>5696</v>
      </c>
      <c r="C4894" s="341" t="s">
        <v>4330</v>
      </c>
    </row>
    <row r="4895" spans="1:3" x14ac:dyDescent="0.2">
      <c r="A4895" s="333">
        <v>39095001002</v>
      </c>
      <c r="B4895" t="s">
        <v>5697</v>
      </c>
      <c r="C4895" s="341" t="s">
        <v>4330</v>
      </c>
    </row>
    <row r="4896" spans="1:3" x14ac:dyDescent="0.2">
      <c r="A4896" s="333">
        <v>39095001100</v>
      </c>
      <c r="B4896" t="s">
        <v>1830</v>
      </c>
      <c r="C4896" s="341" t="s">
        <v>4330</v>
      </c>
    </row>
    <row r="4897" spans="1:3" x14ac:dyDescent="0.2">
      <c r="A4897" s="333">
        <v>39095001201</v>
      </c>
      <c r="B4897" t="s">
        <v>1831</v>
      </c>
      <c r="C4897" s="341" t="s">
        <v>5334</v>
      </c>
    </row>
    <row r="4898" spans="1:3" x14ac:dyDescent="0.2">
      <c r="A4898" s="333">
        <v>39095001202</v>
      </c>
      <c r="B4898" t="s">
        <v>1832</v>
      </c>
      <c r="C4898" s="341" t="s">
        <v>4330</v>
      </c>
    </row>
    <row r="4899" spans="1:3" x14ac:dyDescent="0.2">
      <c r="A4899" s="333">
        <v>39095001301</v>
      </c>
      <c r="B4899" t="s">
        <v>1833</v>
      </c>
      <c r="C4899" s="341" t="s">
        <v>5334</v>
      </c>
    </row>
    <row r="4900" spans="1:3" x14ac:dyDescent="0.2">
      <c r="A4900" s="333">
        <v>39095001302</v>
      </c>
      <c r="B4900" t="s">
        <v>1834</v>
      </c>
      <c r="C4900" s="341" t="s">
        <v>4330</v>
      </c>
    </row>
    <row r="4901" spans="1:3" x14ac:dyDescent="0.2">
      <c r="A4901" s="333">
        <v>39095001303</v>
      </c>
      <c r="B4901" t="s">
        <v>1835</v>
      </c>
      <c r="C4901" s="341" t="s">
        <v>5334</v>
      </c>
    </row>
    <row r="4902" spans="1:3" x14ac:dyDescent="0.2">
      <c r="A4902" s="333">
        <v>39095001400</v>
      </c>
      <c r="B4902" t="s">
        <v>1836</v>
      </c>
      <c r="C4902" s="341" t="s">
        <v>4330</v>
      </c>
    </row>
    <row r="4903" spans="1:3" x14ac:dyDescent="0.2">
      <c r="A4903" s="333">
        <v>39095001500</v>
      </c>
      <c r="B4903" t="s">
        <v>1837</v>
      </c>
      <c r="C4903" s="341" t="s">
        <v>4330</v>
      </c>
    </row>
    <row r="4904" spans="1:3" x14ac:dyDescent="0.2">
      <c r="A4904" s="333">
        <v>39095001601</v>
      </c>
      <c r="B4904" t="s">
        <v>5698</v>
      </c>
      <c r="C4904" s="341" t="s">
        <v>4330</v>
      </c>
    </row>
    <row r="4905" spans="1:3" x14ac:dyDescent="0.2">
      <c r="A4905" s="333">
        <v>39095001602</v>
      </c>
      <c r="B4905" t="s">
        <v>5699</v>
      </c>
      <c r="C4905" s="341" t="s">
        <v>4330</v>
      </c>
    </row>
    <row r="4906" spans="1:3" x14ac:dyDescent="0.2">
      <c r="A4906" s="333">
        <v>39095001700</v>
      </c>
      <c r="B4906" t="s">
        <v>1839</v>
      </c>
      <c r="C4906" s="341" t="s">
        <v>4330</v>
      </c>
    </row>
    <row r="4907" spans="1:3" x14ac:dyDescent="0.2">
      <c r="A4907" s="333">
        <v>39095001800</v>
      </c>
      <c r="B4907" t="s">
        <v>1840</v>
      </c>
      <c r="C4907" s="341" t="s">
        <v>4330</v>
      </c>
    </row>
    <row r="4908" spans="1:3" x14ac:dyDescent="0.2">
      <c r="A4908" s="333">
        <v>39095001900</v>
      </c>
      <c r="B4908" t="s">
        <v>1841</v>
      </c>
      <c r="C4908" s="341" t="s">
        <v>4330</v>
      </c>
    </row>
    <row r="4909" spans="1:3" x14ac:dyDescent="0.2">
      <c r="A4909" s="333">
        <v>39095002000</v>
      </c>
      <c r="B4909" t="s">
        <v>1842</v>
      </c>
      <c r="C4909" s="341" t="s">
        <v>4330</v>
      </c>
    </row>
    <row r="4910" spans="1:3" x14ac:dyDescent="0.2">
      <c r="A4910" s="333">
        <v>39095002100</v>
      </c>
      <c r="B4910" t="s">
        <v>1843</v>
      </c>
      <c r="C4910" s="341" t="s">
        <v>4330</v>
      </c>
    </row>
    <row r="4911" spans="1:3" x14ac:dyDescent="0.2">
      <c r="A4911" s="333">
        <v>39095002401</v>
      </c>
      <c r="B4911" t="s">
        <v>1846</v>
      </c>
      <c r="C4911" s="341" t="s">
        <v>4330</v>
      </c>
    </row>
    <row r="4912" spans="1:3" x14ac:dyDescent="0.2">
      <c r="A4912" s="333">
        <v>39095002402</v>
      </c>
      <c r="B4912" t="s">
        <v>1847</v>
      </c>
      <c r="C4912" s="341" t="s">
        <v>4330</v>
      </c>
    </row>
    <row r="4913" spans="1:3" x14ac:dyDescent="0.2">
      <c r="A4913" s="333">
        <v>39095002500</v>
      </c>
      <c r="B4913" t="s">
        <v>1848</v>
      </c>
      <c r="C4913" s="341" t="s">
        <v>4330</v>
      </c>
    </row>
    <row r="4914" spans="1:3" x14ac:dyDescent="0.2">
      <c r="A4914" s="333">
        <v>39095002600</v>
      </c>
      <c r="B4914" t="s">
        <v>1849</v>
      </c>
      <c r="C4914" s="341" t="s">
        <v>5334</v>
      </c>
    </row>
    <row r="4915" spans="1:3" x14ac:dyDescent="0.2">
      <c r="A4915" s="333">
        <v>39095002700</v>
      </c>
      <c r="B4915" t="s">
        <v>1850</v>
      </c>
      <c r="C4915" s="341" t="s">
        <v>4330</v>
      </c>
    </row>
    <row r="4916" spans="1:3" x14ac:dyDescent="0.2">
      <c r="A4916" s="333">
        <v>39095002800</v>
      </c>
      <c r="B4916" t="s">
        <v>1851</v>
      </c>
      <c r="C4916" s="341" t="s">
        <v>4330</v>
      </c>
    </row>
    <row r="4917" spans="1:3" x14ac:dyDescent="0.2">
      <c r="A4917" s="333">
        <v>39095002900</v>
      </c>
      <c r="B4917" t="s">
        <v>1852</v>
      </c>
      <c r="C4917" s="341" t="s">
        <v>4330</v>
      </c>
    </row>
    <row r="4918" spans="1:3" x14ac:dyDescent="0.2">
      <c r="A4918" s="333">
        <v>39095003000</v>
      </c>
      <c r="B4918" t="s">
        <v>1853</v>
      </c>
      <c r="C4918" s="341" t="s">
        <v>4330</v>
      </c>
    </row>
    <row r="4919" spans="1:3" x14ac:dyDescent="0.2">
      <c r="A4919" s="333">
        <v>39095003100</v>
      </c>
      <c r="B4919" t="s">
        <v>1854</v>
      </c>
      <c r="C4919" s="341" t="s">
        <v>5334</v>
      </c>
    </row>
    <row r="4920" spans="1:3" x14ac:dyDescent="0.2">
      <c r="A4920" s="333">
        <v>39095003200</v>
      </c>
      <c r="B4920" t="s">
        <v>1855</v>
      </c>
      <c r="C4920" s="341" t="s">
        <v>4330</v>
      </c>
    </row>
    <row r="4921" spans="1:3" x14ac:dyDescent="0.2">
      <c r="A4921" s="333">
        <v>39095003300</v>
      </c>
      <c r="B4921" t="s">
        <v>1856</v>
      </c>
      <c r="C4921" s="341" t="s">
        <v>4330</v>
      </c>
    </row>
    <row r="4922" spans="1:3" x14ac:dyDescent="0.2">
      <c r="A4922" s="333">
        <v>39095003500</v>
      </c>
      <c r="B4922" t="s">
        <v>1858</v>
      </c>
      <c r="C4922" s="341" t="s">
        <v>5334</v>
      </c>
    </row>
    <row r="4923" spans="1:3" x14ac:dyDescent="0.2">
      <c r="A4923" s="333">
        <v>39095003600</v>
      </c>
      <c r="B4923" t="s">
        <v>1859</v>
      </c>
      <c r="C4923" s="341" t="s">
        <v>4330</v>
      </c>
    </row>
    <row r="4924" spans="1:3" x14ac:dyDescent="0.2">
      <c r="A4924" s="333">
        <v>39095003901</v>
      </c>
      <c r="B4924" t="s">
        <v>5700</v>
      </c>
      <c r="C4924" s="341" t="s">
        <v>5334</v>
      </c>
    </row>
    <row r="4925" spans="1:3" x14ac:dyDescent="0.2">
      <c r="A4925" s="333">
        <v>39095003902</v>
      </c>
      <c r="B4925" t="s">
        <v>5701</v>
      </c>
      <c r="C4925" s="341" t="s">
        <v>5334</v>
      </c>
    </row>
    <row r="4926" spans="1:3" x14ac:dyDescent="0.2">
      <c r="A4926" s="333">
        <v>39095004000</v>
      </c>
      <c r="B4926" t="s">
        <v>1862</v>
      </c>
      <c r="C4926" s="341" t="s">
        <v>4330</v>
      </c>
    </row>
    <row r="4927" spans="1:3" x14ac:dyDescent="0.2">
      <c r="A4927" s="333">
        <v>39095004200</v>
      </c>
      <c r="B4927" t="s">
        <v>1863</v>
      </c>
      <c r="C4927" s="341" t="s">
        <v>4330</v>
      </c>
    </row>
    <row r="4928" spans="1:3" x14ac:dyDescent="0.2">
      <c r="A4928" s="333">
        <v>39095004401</v>
      </c>
      <c r="B4928" t="s">
        <v>5702</v>
      </c>
      <c r="C4928" s="341" t="s">
        <v>4330</v>
      </c>
    </row>
    <row r="4929" spans="1:3" x14ac:dyDescent="0.2">
      <c r="A4929" s="333">
        <v>39095004402</v>
      </c>
      <c r="B4929" t="s">
        <v>5703</v>
      </c>
      <c r="C4929" s="341" t="s">
        <v>4330</v>
      </c>
    </row>
    <row r="4930" spans="1:3" x14ac:dyDescent="0.2">
      <c r="A4930" s="333">
        <v>39095004501</v>
      </c>
      <c r="B4930" t="s">
        <v>1865</v>
      </c>
      <c r="C4930" s="341" t="s">
        <v>5334</v>
      </c>
    </row>
    <row r="4931" spans="1:3" x14ac:dyDescent="0.2">
      <c r="A4931" s="333">
        <v>39095004503</v>
      </c>
      <c r="B4931" t="s">
        <v>1866</v>
      </c>
      <c r="C4931" s="341" t="s">
        <v>5334</v>
      </c>
    </row>
    <row r="4932" spans="1:3" x14ac:dyDescent="0.2">
      <c r="A4932" s="333">
        <v>39095004504</v>
      </c>
      <c r="B4932" t="s">
        <v>1867</v>
      </c>
      <c r="C4932" s="341" t="s">
        <v>5334</v>
      </c>
    </row>
    <row r="4933" spans="1:3" x14ac:dyDescent="0.2">
      <c r="A4933" s="333">
        <v>39095004600</v>
      </c>
      <c r="B4933" t="s">
        <v>1868</v>
      </c>
      <c r="C4933" s="341" t="s">
        <v>4330</v>
      </c>
    </row>
    <row r="4934" spans="1:3" x14ac:dyDescent="0.2">
      <c r="A4934" s="333">
        <v>39095004701</v>
      </c>
      <c r="B4934" t="s">
        <v>1869</v>
      </c>
      <c r="C4934" s="341" t="s">
        <v>4330</v>
      </c>
    </row>
    <row r="4935" spans="1:3" x14ac:dyDescent="0.2">
      <c r="A4935" s="333">
        <v>39095004702</v>
      </c>
      <c r="B4935" t="s">
        <v>1870</v>
      </c>
      <c r="C4935" s="341" t="s">
        <v>4330</v>
      </c>
    </row>
    <row r="4936" spans="1:3" x14ac:dyDescent="0.2">
      <c r="A4936" s="333">
        <v>39095004800</v>
      </c>
      <c r="B4936" t="s">
        <v>1871</v>
      </c>
      <c r="C4936" s="341" t="s">
        <v>4330</v>
      </c>
    </row>
    <row r="4937" spans="1:3" x14ac:dyDescent="0.2">
      <c r="A4937" s="333">
        <v>39095004900</v>
      </c>
      <c r="B4937" t="s">
        <v>1872</v>
      </c>
      <c r="C4937" s="341" t="s">
        <v>4330</v>
      </c>
    </row>
    <row r="4938" spans="1:3" x14ac:dyDescent="0.2">
      <c r="A4938" s="333">
        <v>39095005000</v>
      </c>
      <c r="B4938" t="s">
        <v>1873</v>
      </c>
      <c r="C4938" s="341" t="s">
        <v>5334</v>
      </c>
    </row>
    <row r="4939" spans="1:3" x14ac:dyDescent="0.2">
      <c r="A4939" s="333">
        <v>39095005101</v>
      </c>
      <c r="B4939" t="s">
        <v>5704</v>
      </c>
      <c r="C4939" s="341" t="s">
        <v>4330</v>
      </c>
    </row>
    <row r="4940" spans="1:3" x14ac:dyDescent="0.2">
      <c r="A4940" s="333">
        <v>39095005102</v>
      </c>
      <c r="B4940" t="s">
        <v>5705</v>
      </c>
      <c r="C4940" s="341" t="s">
        <v>4330</v>
      </c>
    </row>
    <row r="4941" spans="1:3" x14ac:dyDescent="0.2">
      <c r="A4941" s="333">
        <v>39095005200</v>
      </c>
      <c r="B4941" t="s">
        <v>1875</v>
      </c>
      <c r="C4941" s="341" t="s">
        <v>4330</v>
      </c>
    </row>
    <row r="4942" spans="1:3" x14ac:dyDescent="0.2">
      <c r="A4942" s="333">
        <v>39095005300</v>
      </c>
      <c r="B4942" t="s">
        <v>1876</v>
      </c>
      <c r="C4942" s="341" t="s">
        <v>4330</v>
      </c>
    </row>
    <row r="4943" spans="1:3" x14ac:dyDescent="0.2">
      <c r="A4943" s="333">
        <v>39095005400</v>
      </c>
      <c r="B4943" t="s">
        <v>1877</v>
      </c>
      <c r="C4943" s="341" t="s">
        <v>4330</v>
      </c>
    </row>
    <row r="4944" spans="1:3" x14ac:dyDescent="0.2">
      <c r="A4944" s="333">
        <v>39095005501</v>
      </c>
      <c r="B4944" t="s">
        <v>1878</v>
      </c>
      <c r="C4944" s="341" t="s">
        <v>5334</v>
      </c>
    </row>
    <row r="4945" spans="1:3" x14ac:dyDescent="0.2">
      <c r="A4945" s="333">
        <v>39095005502</v>
      </c>
      <c r="B4945" t="s">
        <v>1879</v>
      </c>
      <c r="C4945" s="341" t="s">
        <v>5334</v>
      </c>
    </row>
    <row r="4946" spans="1:3" x14ac:dyDescent="0.2">
      <c r="A4946" s="333">
        <v>39095005503</v>
      </c>
      <c r="B4946" t="s">
        <v>1880</v>
      </c>
      <c r="C4946" s="341" t="s">
        <v>5334</v>
      </c>
    </row>
    <row r="4947" spans="1:3" x14ac:dyDescent="0.2">
      <c r="A4947" s="333">
        <v>39095005601</v>
      </c>
      <c r="B4947" t="s">
        <v>5706</v>
      </c>
      <c r="C4947" s="341" t="s">
        <v>5334</v>
      </c>
    </row>
    <row r="4948" spans="1:3" x14ac:dyDescent="0.2">
      <c r="A4948" s="333">
        <v>39095005602</v>
      </c>
      <c r="B4948" t="s">
        <v>5707</v>
      </c>
      <c r="C4948" s="341" t="s">
        <v>5334</v>
      </c>
    </row>
    <row r="4949" spans="1:3" x14ac:dyDescent="0.2">
      <c r="A4949" s="333">
        <v>39095005701</v>
      </c>
      <c r="B4949" t="s">
        <v>1882</v>
      </c>
      <c r="C4949" s="341" t="s">
        <v>5334</v>
      </c>
    </row>
    <row r="4950" spans="1:3" x14ac:dyDescent="0.2">
      <c r="A4950" s="333">
        <v>39095005703</v>
      </c>
      <c r="B4950" t="s">
        <v>1884</v>
      </c>
      <c r="C4950" s="341" t="s">
        <v>5334</v>
      </c>
    </row>
    <row r="4951" spans="1:3" x14ac:dyDescent="0.2">
      <c r="A4951" s="333">
        <v>39095005704</v>
      </c>
      <c r="B4951" t="s">
        <v>5708</v>
      </c>
      <c r="C4951" s="341" t="s">
        <v>5334</v>
      </c>
    </row>
    <row r="4952" spans="1:3" x14ac:dyDescent="0.2">
      <c r="A4952" s="333">
        <v>39095005705</v>
      </c>
      <c r="B4952" t="s">
        <v>5709</v>
      </c>
      <c r="C4952" s="341" t="s">
        <v>5334</v>
      </c>
    </row>
    <row r="4953" spans="1:3" x14ac:dyDescent="0.2">
      <c r="A4953" s="333">
        <v>39095005801</v>
      </c>
      <c r="B4953" t="s">
        <v>1885</v>
      </c>
      <c r="C4953" s="341" t="s">
        <v>5334</v>
      </c>
    </row>
    <row r="4954" spans="1:3" x14ac:dyDescent="0.2">
      <c r="A4954" s="333">
        <v>39095005803</v>
      </c>
      <c r="B4954" t="s">
        <v>5710</v>
      </c>
      <c r="C4954" s="341" t="s">
        <v>5334</v>
      </c>
    </row>
    <row r="4955" spans="1:3" x14ac:dyDescent="0.2">
      <c r="A4955" s="333">
        <v>39095005804</v>
      </c>
      <c r="B4955" t="s">
        <v>5711</v>
      </c>
      <c r="C4955" s="341" t="s">
        <v>5334</v>
      </c>
    </row>
    <row r="4956" spans="1:3" x14ac:dyDescent="0.2">
      <c r="A4956" s="333">
        <v>39095005901</v>
      </c>
      <c r="B4956" t="s">
        <v>1887</v>
      </c>
      <c r="C4956" s="341" t="s">
        <v>5334</v>
      </c>
    </row>
    <row r="4957" spans="1:3" x14ac:dyDescent="0.2">
      <c r="A4957" s="333">
        <v>39095005902</v>
      </c>
      <c r="B4957" t="s">
        <v>1888</v>
      </c>
      <c r="C4957" s="341" t="s">
        <v>5334</v>
      </c>
    </row>
    <row r="4958" spans="1:3" x14ac:dyDescent="0.2">
      <c r="A4958" s="333">
        <v>39095006000</v>
      </c>
      <c r="B4958" t="s">
        <v>1889</v>
      </c>
      <c r="C4958" s="341" t="s">
        <v>5334</v>
      </c>
    </row>
    <row r="4959" spans="1:3" x14ac:dyDescent="0.2">
      <c r="A4959" s="333">
        <v>39095006100</v>
      </c>
      <c r="B4959" t="s">
        <v>1890</v>
      </c>
      <c r="C4959" s="341" t="s">
        <v>5334</v>
      </c>
    </row>
    <row r="4960" spans="1:3" x14ac:dyDescent="0.2">
      <c r="A4960" s="333">
        <v>39095006200</v>
      </c>
      <c r="B4960" t="s">
        <v>1891</v>
      </c>
      <c r="C4960" s="341" t="s">
        <v>5334</v>
      </c>
    </row>
    <row r="4961" spans="1:3" x14ac:dyDescent="0.2">
      <c r="A4961" s="333">
        <v>39095006300</v>
      </c>
      <c r="B4961" t="s">
        <v>1892</v>
      </c>
      <c r="C4961" s="341" t="s">
        <v>5334</v>
      </c>
    </row>
    <row r="4962" spans="1:3" x14ac:dyDescent="0.2">
      <c r="A4962" s="333">
        <v>39095006400</v>
      </c>
      <c r="B4962" t="s">
        <v>1893</v>
      </c>
      <c r="C4962" s="341" t="s">
        <v>5334</v>
      </c>
    </row>
    <row r="4963" spans="1:3" x14ac:dyDescent="0.2">
      <c r="A4963" s="333">
        <v>39095006500</v>
      </c>
      <c r="B4963" t="s">
        <v>1894</v>
      </c>
      <c r="C4963" s="341" t="s">
        <v>4330</v>
      </c>
    </row>
    <row r="4964" spans="1:3" x14ac:dyDescent="0.2">
      <c r="A4964" s="333">
        <v>39095006600</v>
      </c>
      <c r="B4964" t="s">
        <v>1895</v>
      </c>
      <c r="C4964" s="341" t="s">
        <v>4330</v>
      </c>
    </row>
    <row r="4965" spans="1:3" x14ac:dyDescent="0.2">
      <c r="A4965" s="333">
        <v>39095006700</v>
      </c>
      <c r="B4965" t="s">
        <v>1896</v>
      </c>
      <c r="C4965" s="341" t="s">
        <v>4330</v>
      </c>
    </row>
    <row r="4966" spans="1:3" x14ac:dyDescent="0.2">
      <c r="A4966" s="333">
        <v>39095006801</v>
      </c>
      <c r="B4966" t="s">
        <v>5712</v>
      </c>
      <c r="C4966" s="341" t="s">
        <v>4330</v>
      </c>
    </row>
    <row r="4967" spans="1:3" x14ac:dyDescent="0.2">
      <c r="A4967" s="333">
        <v>39095006802</v>
      </c>
      <c r="B4967" t="s">
        <v>5713</v>
      </c>
      <c r="C4967" s="341" t="s">
        <v>4330</v>
      </c>
    </row>
    <row r="4968" spans="1:3" x14ac:dyDescent="0.2">
      <c r="A4968" s="333">
        <v>39095006900</v>
      </c>
      <c r="B4968" t="s">
        <v>1898</v>
      </c>
      <c r="C4968" s="341" t="s">
        <v>5334</v>
      </c>
    </row>
    <row r="4969" spans="1:3" x14ac:dyDescent="0.2">
      <c r="A4969" s="333">
        <v>39095007002</v>
      </c>
      <c r="B4969" t="s">
        <v>1900</v>
      </c>
      <c r="C4969" s="341" t="s">
        <v>5334</v>
      </c>
    </row>
    <row r="4970" spans="1:3" x14ac:dyDescent="0.2">
      <c r="A4970" s="333">
        <v>39095007003</v>
      </c>
      <c r="B4970" t="s">
        <v>5714</v>
      </c>
      <c r="C4970" s="341" t="s">
        <v>5334</v>
      </c>
    </row>
    <row r="4971" spans="1:3" x14ac:dyDescent="0.2">
      <c r="A4971" s="333">
        <v>39095007004</v>
      </c>
      <c r="B4971" t="s">
        <v>5715</v>
      </c>
      <c r="C4971" s="341" t="s">
        <v>5334</v>
      </c>
    </row>
    <row r="4972" spans="1:3" x14ac:dyDescent="0.2">
      <c r="A4972" s="333">
        <v>39095007102</v>
      </c>
      <c r="B4972" t="s">
        <v>1902</v>
      </c>
      <c r="C4972" s="341" t="s">
        <v>5334</v>
      </c>
    </row>
    <row r="4973" spans="1:3" x14ac:dyDescent="0.2">
      <c r="A4973" s="333">
        <v>39095007103</v>
      </c>
      <c r="B4973" t="s">
        <v>5716</v>
      </c>
      <c r="C4973" s="341" t="s">
        <v>5334</v>
      </c>
    </row>
    <row r="4974" spans="1:3" x14ac:dyDescent="0.2">
      <c r="A4974" s="333">
        <v>39095007104</v>
      </c>
      <c r="B4974" t="s">
        <v>5717</v>
      </c>
      <c r="C4974" s="341" t="s">
        <v>5334</v>
      </c>
    </row>
    <row r="4975" spans="1:3" x14ac:dyDescent="0.2">
      <c r="A4975" s="333">
        <v>39095007202</v>
      </c>
      <c r="B4975" t="s">
        <v>1903</v>
      </c>
      <c r="C4975" s="341" t="s">
        <v>5334</v>
      </c>
    </row>
    <row r="4976" spans="1:3" x14ac:dyDescent="0.2">
      <c r="A4976" s="333">
        <v>39095007204</v>
      </c>
      <c r="B4976" t="s">
        <v>1905</v>
      </c>
      <c r="C4976" s="341" t="s">
        <v>5334</v>
      </c>
    </row>
    <row r="4977" spans="1:3" x14ac:dyDescent="0.2">
      <c r="A4977" s="333">
        <v>39095007206</v>
      </c>
      <c r="B4977" t="s">
        <v>5718</v>
      </c>
      <c r="C4977" s="341" t="s">
        <v>5334</v>
      </c>
    </row>
    <row r="4978" spans="1:3" x14ac:dyDescent="0.2">
      <c r="A4978" s="333">
        <v>39095007207</v>
      </c>
      <c r="B4978" t="s">
        <v>5719</v>
      </c>
      <c r="C4978" s="341" t="s">
        <v>5334</v>
      </c>
    </row>
    <row r="4979" spans="1:3" x14ac:dyDescent="0.2">
      <c r="A4979" s="333">
        <v>39095007208</v>
      </c>
      <c r="B4979" t="s">
        <v>5720</v>
      </c>
      <c r="C4979" s="341" t="s">
        <v>5334</v>
      </c>
    </row>
    <row r="4980" spans="1:3" x14ac:dyDescent="0.2">
      <c r="A4980" s="333">
        <v>39095007209</v>
      </c>
      <c r="B4980" t="s">
        <v>5721</v>
      </c>
      <c r="C4980" s="341" t="s">
        <v>5334</v>
      </c>
    </row>
    <row r="4981" spans="1:3" x14ac:dyDescent="0.2">
      <c r="A4981" s="333">
        <v>39095007302</v>
      </c>
      <c r="B4981" t="s">
        <v>1908</v>
      </c>
      <c r="C4981" s="341" t="s">
        <v>5334</v>
      </c>
    </row>
    <row r="4982" spans="1:3" x14ac:dyDescent="0.2">
      <c r="A4982" s="333">
        <v>39095007304</v>
      </c>
      <c r="B4982" t="s">
        <v>5722</v>
      </c>
      <c r="C4982" s="341" t="s">
        <v>5334</v>
      </c>
    </row>
    <row r="4983" spans="1:3" x14ac:dyDescent="0.2">
      <c r="A4983" s="333">
        <v>39095007305</v>
      </c>
      <c r="B4983" t="s">
        <v>5723</v>
      </c>
      <c r="C4983" s="341" t="s">
        <v>5334</v>
      </c>
    </row>
    <row r="4984" spans="1:3" x14ac:dyDescent="0.2">
      <c r="A4984" s="333">
        <v>39095007306</v>
      </c>
      <c r="B4984" t="s">
        <v>5724</v>
      </c>
      <c r="C4984" s="341" t="s">
        <v>4330</v>
      </c>
    </row>
    <row r="4985" spans="1:3" x14ac:dyDescent="0.2">
      <c r="A4985" s="333">
        <v>39095007307</v>
      </c>
      <c r="B4985" t="s">
        <v>5725</v>
      </c>
      <c r="C4985" s="341" t="s">
        <v>4330</v>
      </c>
    </row>
    <row r="4986" spans="1:3" x14ac:dyDescent="0.2">
      <c r="A4986" s="333">
        <v>39095007401</v>
      </c>
      <c r="B4986" t="s">
        <v>5726</v>
      </c>
      <c r="C4986" s="341" t="s">
        <v>4330</v>
      </c>
    </row>
    <row r="4987" spans="1:3" x14ac:dyDescent="0.2">
      <c r="A4987" s="333">
        <v>39095007402</v>
      </c>
      <c r="B4987" t="s">
        <v>5727</v>
      </c>
      <c r="C4987" s="341" t="s">
        <v>5334</v>
      </c>
    </row>
    <row r="4988" spans="1:3" x14ac:dyDescent="0.2">
      <c r="A4988" s="333">
        <v>39095007501</v>
      </c>
      <c r="B4988" t="s">
        <v>5728</v>
      </c>
      <c r="C4988" s="341" t="s">
        <v>4330</v>
      </c>
    </row>
    <row r="4989" spans="1:3" x14ac:dyDescent="0.2">
      <c r="A4989" s="333">
        <v>39095007502</v>
      </c>
      <c r="B4989" t="s">
        <v>5729</v>
      </c>
      <c r="C4989" s="341" t="s">
        <v>5334</v>
      </c>
    </row>
    <row r="4990" spans="1:3" x14ac:dyDescent="0.2">
      <c r="A4990" s="333">
        <v>39095007600</v>
      </c>
      <c r="B4990" t="s">
        <v>1912</v>
      </c>
      <c r="C4990" s="341" t="s">
        <v>5334</v>
      </c>
    </row>
    <row r="4991" spans="1:3" x14ac:dyDescent="0.2">
      <c r="A4991" s="333">
        <v>39095007700</v>
      </c>
      <c r="B4991" t="s">
        <v>1913</v>
      </c>
      <c r="C4991" s="341" t="s">
        <v>5334</v>
      </c>
    </row>
    <row r="4992" spans="1:3" x14ac:dyDescent="0.2">
      <c r="A4992" s="333">
        <v>39095007801</v>
      </c>
      <c r="B4992" t="s">
        <v>5730</v>
      </c>
      <c r="C4992" s="341" t="s">
        <v>5334</v>
      </c>
    </row>
    <row r="4993" spans="1:3" x14ac:dyDescent="0.2">
      <c r="A4993" s="333">
        <v>39095007802</v>
      </c>
      <c r="B4993" t="s">
        <v>5731</v>
      </c>
      <c r="C4993" s="341" t="s">
        <v>5334</v>
      </c>
    </row>
    <row r="4994" spans="1:3" x14ac:dyDescent="0.2">
      <c r="A4994" s="333">
        <v>39095007901</v>
      </c>
      <c r="B4994" t="s">
        <v>1915</v>
      </c>
      <c r="C4994" s="341" t="s">
        <v>5334</v>
      </c>
    </row>
    <row r="4995" spans="1:3" x14ac:dyDescent="0.2">
      <c r="A4995" s="333">
        <v>39095007903</v>
      </c>
      <c r="B4995" t="s">
        <v>5732</v>
      </c>
      <c r="C4995" s="341" t="s">
        <v>5334</v>
      </c>
    </row>
    <row r="4996" spans="1:3" x14ac:dyDescent="0.2">
      <c r="A4996" s="333">
        <v>39095007904</v>
      </c>
      <c r="B4996" t="s">
        <v>5733</v>
      </c>
      <c r="C4996" s="341" t="s">
        <v>5334</v>
      </c>
    </row>
    <row r="4997" spans="1:3" x14ac:dyDescent="0.2">
      <c r="A4997" s="333">
        <v>39095008000</v>
      </c>
      <c r="B4997" t="s">
        <v>1917</v>
      </c>
      <c r="C4997" s="341" t="s">
        <v>5334</v>
      </c>
    </row>
    <row r="4998" spans="1:3" x14ac:dyDescent="0.2">
      <c r="A4998" s="333">
        <v>39095008100</v>
      </c>
      <c r="B4998" t="s">
        <v>1918</v>
      </c>
      <c r="C4998" s="341" t="s">
        <v>5334</v>
      </c>
    </row>
    <row r="4999" spans="1:3" x14ac:dyDescent="0.2">
      <c r="A4999" s="333">
        <v>39095008204</v>
      </c>
      <c r="B4999" t="s">
        <v>5734</v>
      </c>
      <c r="C4999" s="341" t="s">
        <v>5334</v>
      </c>
    </row>
    <row r="5000" spans="1:3" x14ac:dyDescent="0.2">
      <c r="A5000" s="333">
        <v>39095008205</v>
      </c>
      <c r="B5000" t="s">
        <v>5735</v>
      </c>
      <c r="C5000" s="341" t="s">
        <v>5334</v>
      </c>
    </row>
    <row r="5001" spans="1:3" x14ac:dyDescent="0.2">
      <c r="A5001" s="333">
        <v>39095008206</v>
      </c>
      <c r="B5001" t="s">
        <v>5736</v>
      </c>
      <c r="C5001" s="341" t="s">
        <v>5334</v>
      </c>
    </row>
    <row r="5002" spans="1:3" x14ac:dyDescent="0.2">
      <c r="A5002" s="333">
        <v>39095008207</v>
      </c>
      <c r="B5002" t="s">
        <v>5737</v>
      </c>
      <c r="C5002" s="341" t="s">
        <v>5334</v>
      </c>
    </row>
    <row r="5003" spans="1:3" x14ac:dyDescent="0.2">
      <c r="A5003" s="333">
        <v>39095008208</v>
      </c>
      <c r="B5003" t="s">
        <v>5738</v>
      </c>
      <c r="C5003" s="341" t="s">
        <v>5334</v>
      </c>
    </row>
    <row r="5004" spans="1:3" x14ac:dyDescent="0.2">
      <c r="A5004" s="333">
        <v>39095008209</v>
      </c>
      <c r="B5004" t="s">
        <v>5739</v>
      </c>
      <c r="C5004" s="341" t="s">
        <v>5334</v>
      </c>
    </row>
    <row r="5005" spans="1:3" x14ac:dyDescent="0.2">
      <c r="A5005" s="333">
        <v>39095008210</v>
      </c>
      <c r="B5005" t="s">
        <v>5740</v>
      </c>
      <c r="C5005" s="341" t="s">
        <v>5334</v>
      </c>
    </row>
    <row r="5006" spans="1:3" x14ac:dyDescent="0.2">
      <c r="A5006" s="333">
        <v>39095008302</v>
      </c>
      <c r="B5006" t="s">
        <v>1923</v>
      </c>
      <c r="C5006" s="341" t="s">
        <v>5334</v>
      </c>
    </row>
    <row r="5007" spans="1:3" x14ac:dyDescent="0.2">
      <c r="A5007" s="333">
        <v>39095008303</v>
      </c>
      <c r="B5007" t="s">
        <v>5741</v>
      </c>
      <c r="C5007" s="341" t="s">
        <v>5334</v>
      </c>
    </row>
    <row r="5008" spans="1:3" x14ac:dyDescent="0.2">
      <c r="A5008" s="333">
        <v>39095008304</v>
      </c>
      <c r="B5008" t="s">
        <v>5742</v>
      </c>
      <c r="C5008" s="341" t="s">
        <v>5334</v>
      </c>
    </row>
    <row r="5009" spans="1:3" x14ac:dyDescent="0.2">
      <c r="A5009" s="333">
        <v>39095008401</v>
      </c>
      <c r="B5009" t="s">
        <v>5743</v>
      </c>
      <c r="C5009" s="341" t="s">
        <v>5334</v>
      </c>
    </row>
    <row r="5010" spans="1:3" x14ac:dyDescent="0.2">
      <c r="A5010" s="333">
        <v>39095008402</v>
      </c>
      <c r="B5010" t="s">
        <v>5744</v>
      </c>
      <c r="C5010" s="341" t="s">
        <v>5334</v>
      </c>
    </row>
    <row r="5011" spans="1:3" x14ac:dyDescent="0.2">
      <c r="A5011" s="333">
        <v>39095008501</v>
      </c>
      <c r="B5011" t="s">
        <v>5745</v>
      </c>
      <c r="C5011" s="341" t="s">
        <v>5334</v>
      </c>
    </row>
    <row r="5012" spans="1:3" x14ac:dyDescent="0.2">
      <c r="A5012" s="333">
        <v>39095008502</v>
      </c>
      <c r="B5012" t="s">
        <v>5746</v>
      </c>
      <c r="C5012" s="341" t="s">
        <v>5334</v>
      </c>
    </row>
    <row r="5013" spans="1:3" x14ac:dyDescent="0.2">
      <c r="A5013" s="333">
        <v>39095008601</v>
      </c>
      <c r="B5013" t="s">
        <v>5747</v>
      </c>
      <c r="C5013" s="341" t="s">
        <v>5334</v>
      </c>
    </row>
    <row r="5014" spans="1:3" x14ac:dyDescent="0.2">
      <c r="A5014" s="333">
        <v>39095008602</v>
      </c>
      <c r="B5014" t="s">
        <v>5748</v>
      </c>
      <c r="C5014" s="341" t="s">
        <v>5334</v>
      </c>
    </row>
    <row r="5015" spans="1:3" x14ac:dyDescent="0.2">
      <c r="A5015" s="333">
        <v>39095008701</v>
      </c>
      <c r="B5015" t="s">
        <v>5749</v>
      </c>
      <c r="C5015" s="341" t="s">
        <v>5334</v>
      </c>
    </row>
    <row r="5016" spans="1:3" x14ac:dyDescent="0.2">
      <c r="A5016" s="333">
        <v>39095008702</v>
      </c>
      <c r="B5016" t="s">
        <v>5750</v>
      </c>
      <c r="C5016" s="341" t="s">
        <v>5334</v>
      </c>
    </row>
    <row r="5017" spans="1:3" x14ac:dyDescent="0.2">
      <c r="A5017" s="333">
        <v>39095008703</v>
      </c>
      <c r="B5017" t="s">
        <v>5751</v>
      </c>
      <c r="C5017" s="341" t="s">
        <v>5334</v>
      </c>
    </row>
    <row r="5018" spans="1:3" x14ac:dyDescent="0.2">
      <c r="A5018" s="333">
        <v>39095008801</v>
      </c>
      <c r="B5018" t="s">
        <v>5752</v>
      </c>
      <c r="C5018" s="341" t="s">
        <v>5334</v>
      </c>
    </row>
    <row r="5019" spans="1:3" x14ac:dyDescent="0.2">
      <c r="A5019" s="333">
        <v>39095008802</v>
      </c>
      <c r="B5019" t="s">
        <v>5753</v>
      </c>
      <c r="C5019" s="341" t="s">
        <v>5334</v>
      </c>
    </row>
    <row r="5020" spans="1:3" x14ac:dyDescent="0.2">
      <c r="A5020" s="333">
        <v>39095008903</v>
      </c>
      <c r="B5020" t="s">
        <v>5754</v>
      </c>
      <c r="C5020" s="341" t="s">
        <v>5334</v>
      </c>
    </row>
    <row r="5021" spans="1:3" x14ac:dyDescent="0.2">
      <c r="A5021" s="333">
        <v>39095008904</v>
      </c>
      <c r="B5021" t="s">
        <v>5755</v>
      </c>
      <c r="C5021" s="341" t="s">
        <v>5334</v>
      </c>
    </row>
    <row r="5022" spans="1:3" x14ac:dyDescent="0.2">
      <c r="A5022" s="333">
        <v>39095008905</v>
      </c>
      <c r="B5022" t="s">
        <v>5756</v>
      </c>
      <c r="C5022" s="341" t="s">
        <v>5334</v>
      </c>
    </row>
    <row r="5023" spans="1:3" x14ac:dyDescent="0.2">
      <c r="A5023" s="333">
        <v>39095008906</v>
      </c>
      <c r="B5023" t="s">
        <v>5757</v>
      </c>
      <c r="C5023" s="341" t="s">
        <v>5334</v>
      </c>
    </row>
    <row r="5024" spans="1:3" x14ac:dyDescent="0.2">
      <c r="A5024" s="333">
        <v>39095009001</v>
      </c>
      <c r="B5024" t="s">
        <v>5758</v>
      </c>
      <c r="C5024" s="341" t="s">
        <v>5334</v>
      </c>
    </row>
    <row r="5025" spans="1:3" x14ac:dyDescent="0.2">
      <c r="A5025" s="333">
        <v>39095009002</v>
      </c>
      <c r="B5025" t="s">
        <v>5759</v>
      </c>
      <c r="C5025" s="341" t="s">
        <v>5334</v>
      </c>
    </row>
    <row r="5026" spans="1:3" x14ac:dyDescent="0.2">
      <c r="A5026" s="333">
        <v>39095009003</v>
      </c>
      <c r="B5026" t="s">
        <v>5760</v>
      </c>
      <c r="C5026" s="341" t="s">
        <v>5334</v>
      </c>
    </row>
    <row r="5027" spans="1:3" x14ac:dyDescent="0.2">
      <c r="A5027" s="333">
        <v>39095009101</v>
      </c>
      <c r="B5027" t="s">
        <v>1932</v>
      </c>
      <c r="C5027" s="341" t="s">
        <v>5334</v>
      </c>
    </row>
    <row r="5028" spans="1:3" x14ac:dyDescent="0.2">
      <c r="A5028" s="333">
        <v>39095009103</v>
      </c>
      <c r="B5028" t="s">
        <v>5761</v>
      </c>
      <c r="C5028" s="341" t="s">
        <v>5334</v>
      </c>
    </row>
    <row r="5029" spans="1:3" x14ac:dyDescent="0.2">
      <c r="A5029" s="333">
        <v>39095009104</v>
      </c>
      <c r="B5029" t="s">
        <v>5762</v>
      </c>
      <c r="C5029" s="341" t="s">
        <v>5334</v>
      </c>
    </row>
    <row r="5030" spans="1:3" x14ac:dyDescent="0.2">
      <c r="A5030" s="333">
        <v>39095009203</v>
      </c>
      <c r="B5030" t="s">
        <v>5763</v>
      </c>
      <c r="C5030" s="341" t="s">
        <v>5334</v>
      </c>
    </row>
    <row r="5031" spans="1:3" x14ac:dyDescent="0.2">
      <c r="A5031" s="333">
        <v>39095009204</v>
      </c>
      <c r="B5031" t="s">
        <v>5764</v>
      </c>
      <c r="C5031" s="341" t="s">
        <v>5334</v>
      </c>
    </row>
    <row r="5032" spans="1:3" x14ac:dyDescent="0.2">
      <c r="A5032" s="333">
        <v>39095009205</v>
      </c>
      <c r="B5032" t="s">
        <v>5765</v>
      </c>
      <c r="C5032" s="341" t="s">
        <v>5334</v>
      </c>
    </row>
    <row r="5033" spans="1:3" x14ac:dyDescent="0.2">
      <c r="A5033" s="333">
        <v>39095009206</v>
      </c>
      <c r="B5033" t="s">
        <v>5766</v>
      </c>
      <c r="C5033" s="341" t="s">
        <v>5334</v>
      </c>
    </row>
    <row r="5034" spans="1:3" x14ac:dyDescent="0.2">
      <c r="A5034" s="333">
        <v>39095009300</v>
      </c>
      <c r="B5034" t="s">
        <v>1936</v>
      </c>
      <c r="C5034" s="341" t="s">
        <v>5334</v>
      </c>
    </row>
    <row r="5035" spans="1:3" x14ac:dyDescent="0.2">
      <c r="A5035" s="333">
        <v>39095009400</v>
      </c>
      <c r="B5035" t="s">
        <v>1937</v>
      </c>
      <c r="C5035" s="341" t="s">
        <v>5334</v>
      </c>
    </row>
    <row r="5036" spans="1:3" x14ac:dyDescent="0.2">
      <c r="A5036" s="333">
        <v>39095009500</v>
      </c>
      <c r="B5036" t="s">
        <v>1938</v>
      </c>
      <c r="C5036" s="341" t="s">
        <v>5334</v>
      </c>
    </row>
    <row r="5037" spans="1:3" x14ac:dyDescent="0.2">
      <c r="A5037" s="333">
        <v>39095009600</v>
      </c>
      <c r="B5037" t="s">
        <v>1939</v>
      </c>
      <c r="C5037" s="341" t="s">
        <v>5334</v>
      </c>
    </row>
    <row r="5038" spans="1:3" x14ac:dyDescent="0.2">
      <c r="A5038" s="333">
        <v>39095009700</v>
      </c>
      <c r="B5038" t="s">
        <v>1940</v>
      </c>
      <c r="C5038" s="341" t="s">
        <v>5334</v>
      </c>
    </row>
    <row r="5039" spans="1:3" x14ac:dyDescent="0.2">
      <c r="A5039" s="333">
        <v>39095009800</v>
      </c>
      <c r="B5039" t="s">
        <v>1941</v>
      </c>
      <c r="C5039" s="341" t="s">
        <v>5334</v>
      </c>
    </row>
    <row r="5040" spans="1:3" x14ac:dyDescent="0.2">
      <c r="A5040" s="333">
        <v>39095009901</v>
      </c>
      <c r="B5040" t="s">
        <v>5767</v>
      </c>
      <c r="C5040" s="341" t="s">
        <v>5334</v>
      </c>
    </row>
    <row r="5041" spans="1:3" x14ac:dyDescent="0.2">
      <c r="A5041" s="333">
        <v>39095009902</v>
      </c>
      <c r="B5041" t="s">
        <v>5768</v>
      </c>
      <c r="C5041" s="341" t="s">
        <v>5334</v>
      </c>
    </row>
    <row r="5042" spans="1:3" x14ac:dyDescent="0.2">
      <c r="A5042" s="333">
        <v>39095010001</v>
      </c>
      <c r="B5042" t="s">
        <v>1943</v>
      </c>
      <c r="C5042" s="341" t="s">
        <v>5334</v>
      </c>
    </row>
    <row r="5043" spans="1:3" x14ac:dyDescent="0.2">
      <c r="A5043" s="333">
        <v>39095010002</v>
      </c>
      <c r="B5043" t="s">
        <v>1944</v>
      </c>
      <c r="C5043" s="341" t="s">
        <v>5334</v>
      </c>
    </row>
    <row r="5044" spans="1:3" x14ac:dyDescent="0.2">
      <c r="A5044" s="333">
        <v>39095010100</v>
      </c>
      <c r="B5044" t="s">
        <v>1945</v>
      </c>
      <c r="C5044" s="341" t="s">
        <v>5334</v>
      </c>
    </row>
    <row r="5045" spans="1:3" x14ac:dyDescent="0.2">
      <c r="A5045" s="333">
        <v>39095010200</v>
      </c>
      <c r="B5045" t="s">
        <v>1946</v>
      </c>
      <c r="C5045" s="341" t="s">
        <v>4330</v>
      </c>
    </row>
    <row r="5046" spans="1:3" x14ac:dyDescent="0.2">
      <c r="A5046" s="333">
        <v>39095010300</v>
      </c>
      <c r="B5046" t="s">
        <v>1947</v>
      </c>
      <c r="C5046" s="341" t="s">
        <v>4330</v>
      </c>
    </row>
    <row r="5047" spans="1:3" x14ac:dyDescent="0.2">
      <c r="A5047" s="333">
        <v>39095010400</v>
      </c>
      <c r="B5047" t="s">
        <v>1948</v>
      </c>
      <c r="C5047" s="341" t="s">
        <v>5334</v>
      </c>
    </row>
    <row r="5048" spans="1:3" x14ac:dyDescent="0.2">
      <c r="A5048" s="333">
        <v>39095010500</v>
      </c>
      <c r="B5048" t="s">
        <v>5769</v>
      </c>
      <c r="C5048" s="341" t="s">
        <v>4330</v>
      </c>
    </row>
    <row r="5049" spans="1:3" x14ac:dyDescent="0.2">
      <c r="A5049" s="333">
        <v>39095010600</v>
      </c>
      <c r="B5049" t="s">
        <v>5770</v>
      </c>
      <c r="C5049" s="341" t="s">
        <v>4330</v>
      </c>
    </row>
    <row r="5050" spans="1:3" x14ac:dyDescent="0.2">
      <c r="A5050" s="333">
        <v>39095990000</v>
      </c>
      <c r="B5050" t="s">
        <v>5771</v>
      </c>
      <c r="C5050" s="341" t="s">
        <v>5334</v>
      </c>
    </row>
    <row r="5051" spans="1:3" x14ac:dyDescent="0.2">
      <c r="A5051" s="333">
        <v>39097040101</v>
      </c>
      <c r="B5051" t="s">
        <v>1949</v>
      </c>
      <c r="C5051" s="341" t="s">
        <v>5334</v>
      </c>
    </row>
    <row r="5052" spans="1:3" x14ac:dyDescent="0.2">
      <c r="A5052" s="333">
        <v>39097040102</v>
      </c>
      <c r="B5052" t="s">
        <v>1950</v>
      </c>
      <c r="C5052" s="341" t="s">
        <v>5334</v>
      </c>
    </row>
    <row r="5053" spans="1:3" x14ac:dyDescent="0.2">
      <c r="A5053" s="333">
        <v>39097040201</v>
      </c>
      <c r="B5053" t="s">
        <v>1951</v>
      </c>
      <c r="C5053" s="341" t="s">
        <v>5334</v>
      </c>
    </row>
    <row r="5054" spans="1:3" x14ac:dyDescent="0.2">
      <c r="A5054" s="333">
        <v>39097040202</v>
      </c>
      <c r="B5054" t="s">
        <v>1952</v>
      </c>
      <c r="C5054" s="341" t="s">
        <v>5334</v>
      </c>
    </row>
    <row r="5055" spans="1:3" x14ac:dyDescent="0.2">
      <c r="A5055" s="333">
        <v>39097040400</v>
      </c>
      <c r="B5055" t="s">
        <v>1953</v>
      </c>
      <c r="C5055" s="341" t="s">
        <v>5334</v>
      </c>
    </row>
    <row r="5056" spans="1:3" x14ac:dyDescent="0.2">
      <c r="A5056" s="333">
        <v>39097040500</v>
      </c>
      <c r="B5056" t="s">
        <v>1954</v>
      </c>
      <c r="C5056" s="341" t="s">
        <v>5334</v>
      </c>
    </row>
    <row r="5057" spans="1:3" x14ac:dyDescent="0.2">
      <c r="A5057" s="333">
        <v>39097040600</v>
      </c>
      <c r="B5057" t="s">
        <v>1955</v>
      </c>
      <c r="C5057" s="341" t="s">
        <v>5334</v>
      </c>
    </row>
    <row r="5058" spans="1:3" x14ac:dyDescent="0.2">
      <c r="A5058" s="333">
        <v>39097040700</v>
      </c>
      <c r="B5058" t="s">
        <v>1956</v>
      </c>
      <c r="C5058" s="341" t="s">
        <v>5334</v>
      </c>
    </row>
    <row r="5059" spans="1:3" x14ac:dyDescent="0.2">
      <c r="A5059" s="333">
        <v>39097041000</v>
      </c>
      <c r="B5059" t="s">
        <v>1957</v>
      </c>
      <c r="C5059" s="341" t="s">
        <v>5334</v>
      </c>
    </row>
    <row r="5060" spans="1:3" x14ac:dyDescent="0.2">
      <c r="A5060" s="333">
        <v>39097041100</v>
      </c>
      <c r="B5060" t="s">
        <v>1958</v>
      </c>
      <c r="C5060" s="341" t="s">
        <v>5334</v>
      </c>
    </row>
    <row r="5061" spans="1:3" x14ac:dyDescent="0.2">
      <c r="A5061" s="333">
        <v>39097041200</v>
      </c>
      <c r="B5061" t="s">
        <v>1959</v>
      </c>
      <c r="C5061" s="341" t="s">
        <v>5334</v>
      </c>
    </row>
    <row r="5062" spans="1:3" x14ac:dyDescent="0.2">
      <c r="A5062" s="333">
        <v>39097041300</v>
      </c>
      <c r="B5062" t="s">
        <v>1960</v>
      </c>
      <c r="C5062" s="341" t="s">
        <v>5334</v>
      </c>
    </row>
    <row r="5063" spans="1:3" x14ac:dyDescent="0.2">
      <c r="A5063" s="333">
        <v>39099800501</v>
      </c>
      <c r="B5063" t="s">
        <v>5772</v>
      </c>
      <c r="C5063" s="341" t="s">
        <v>4330</v>
      </c>
    </row>
    <row r="5064" spans="1:3" x14ac:dyDescent="0.2">
      <c r="A5064" s="333">
        <v>39099800502</v>
      </c>
      <c r="B5064" t="s">
        <v>5773</v>
      </c>
      <c r="C5064" s="341" t="s">
        <v>5334</v>
      </c>
    </row>
    <row r="5065" spans="1:3" x14ac:dyDescent="0.2">
      <c r="A5065" s="333">
        <v>39099800600</v>
      </c>
      <c r="B5065" t="s">
        <v>1964</v>
      </c>
      <c r="C5065" s="341" t="s">
        <v>4330</v>
      </c>
    </row>
    <row r="5066" spans="1:3" x14ac:dyDescent="0.2">
      <c r="A5066" s="333">
        <v>39099801000</v>
      </c>
      <c r="B5066" t="s">
        <v>1965</v>
      </c>
      <c r="C5066" s="341" t="s">
        <v>4330</v>
      </c>
    </row>
    <row r="5067" spans="1:3" x14ac:dyDescent="0.2">
      <c r="A5067" s="333">
        <v>39099801100</v>
      </c>
      <c r="B5067" t="s">
        <v>1966</v>
      </c>
      <c r="C5067" s="341" t="s">
        <v>4330</v>
      </c>
    </row>
    <row r="5068" spans="1:3" x14ac:dyDescent="0.2">
      <c r="A5068" s="333">
        <v>39099801200</v>
      </c>
      <c r="B5068" t="s">
        <v>1967</v>
      </c>
      <c r="C5068" s="341" t="s">
        <v>4330</v>
      </c>
    </row>
    <row r="5069" spans="1:3" x14ac:dyDescent="0.2">
      <c r="A5069" s="333">
        <v>39099801300</v>
      </c>
      <c r="B5069" t="s">
        <v>1968</v>
      </c>
      <c r="C5069" s="341" t="s">
        <v>4330</v>
      </c>
    </row>
    <row r="5070" spans="1:3" x14ac:dyDescent="0.2">
      <c r="A5070" s="333">
        <v>39099801400</v>
      </c>
      <c r="B5070" t="s">
        <v>1969</v>
      </c>
      <c r="C5070" s="341" t="s">
        <v>5334</v>
      </c>
    </row>
    <row r="5071" spans="1:3" x14ac:dyDescent="0.2">
      <c r="A5071" s="333">
        <v>39099801500</v>
      </c>
      <c r="B5071" t="s">
        <v>1970</v>
      </c>
      <c r="C5071" s="341" t="s">
        <v>5334</v>
      </c>
    </row>
    <row r="5072" spans="1:3" x14ac:dyDescent="0.2">
      <c r="A5072" s="333">
        <v>39099801600</v>
      </c>
      <c r="B5072" t="s">
        <v>1971</v>
      </c>
      <c r="C5072" s="341" t="s">
        <v>4330</v>
      </c>
    </row>
    <row r="5073" spans="1:3" x14ac:dyDescent="0.2">
      <c r="A5073" s="333">
        <v>39099801700</v>
      </c>
      <c r="B5073" t="s">
        <v>1972</v>
      </c>
      <c r="C5073" s="341" t="s">
        <v>4330</v>
      </c>
    </row>
    <row r="5074" spans="1:3" x14ac:dyDescent="0.2">
      <c r="A5074" s="333">
        <v>39099802100</v>
      </c>
      <c r="B5074" t="s">
        <v>1973</v>
      </c>
      <c r="C5074" s="341" t="s">
        <v>4330</v>
      </c>
    </row>
    <row r="5075" spans="1:3" x14ac:dyDescent="0.2">
      <c r="A5075" s="333">
        <v>39099802300</v>
      </c>
      <c r="B5075" t="s">
        <v>1974</v>
      </c>
      <c r="C5075" s="341" t="s">
        <v>4330</v>
      </c>
    </row>
    <row r="5076" spans="1:3" x14ac:dyDescent="0.2">
      <c r="A5076" s="333">
        <v>39099802400</v>
      </c>
      <c r="B5076" t="s">
        <v>1975</v>
      </c>
      <c r="C5076" s="341" t="s">
        <v>4330</v>
      </c>
    </row>
    <row r="5077" spans="1:3" x14ac:dyDescent="0.2">
      <c r="A5077" s="333">
        <v>39099802500</v>
      </c>
      <c r="B5077" t="s">
        <v>1976</v>
      </c>
      <c r="C5077" s="341" t="s">
        <v>4330</v>
      </c>
    </row>
    <row r="5078" spans="1:3" x14ac:dyDescent="0.2">
      <c r="A5078" s="333">
        <v>39099802600</v>
      </c>
      <c r="B5078" t="s">
        <v>1977</v>
      </c>
      <c r="C5078" s="341" t="s">
        <v>5334</v>
      </c>
    </row>
    <row r="5079" spans="1:3" x14ac:dyDescent="0.2">
      <c r="A5079" s="333">
        <v>39099802701</v>
      </c>
      <c r="B5079" t="s">
        <v>1978</v>
      </c>
      <c r="C5079" s="341" t="s">
        <v>5334</v>
      </c>
    </row>
    <row r="5080" spans="1:3" x14ac:dyDescent="0.2">
      <c r="A5080" s="333">
        <v>39099802702</v>
      </c>
      <c r="B5080" t="s">
        <v>1979</v>
      </c>
      <c r="C5080" s="341" t="s">
        <v>5334</v>
      </c>
    </row>
    <row r="5081" spans="1:3" x14ac:dyDescent="0.2">
      <c r="A5081" s="333">
        <v>39099802800</v>
      </c>
      <c r="B5081" t="s">
        <v>1980</v>
      </c>
      <c r="C5081" s="341" t="s">
        <v>4330</v>
      </c>
    </row>
    <row r="5082" spans="1:3" x14ac:dyDescent="0.2">
      <c r="A5082" s="333">
        <v>39099802900</v>
      </c>
      <c r="B5082" t="s">
        <v>1981</v>
      </c>
      <c r="C5082" s="341" t="s">
        <v>4330</v>
      </c>
    </row>
    <row r="5083" spans="1:3" x14ac:dyDescent="0.2">
      <c r="A5083" s="333">
        <v>39099803000</v>
      </c>
      <c r="B5083" t="s">
        <v>1982</v>
      </c>
      <c r="C5083" s="341" t="s">
        <v>4330</v>
      </c>
    </row>
    <row r="5084" spans="1:3" x14ac:dyDescent="0.2">
      <c r="A5084" s="333">
        <v>39099804000</v>
      </c>
      <c r="B5084" t="s">
        <v>1983</v>
      </c>
      <c r="C5084" s="341" t="s">
        <v>4330</v>
      </c>
    </row>
    <row r="5085" spans="1:3" x14ac:dyDescent="0.2">
      <c r="A5085" s="333">
        <v>39099804100</v>
      </c>
      <c r="B5085" t="s">
        <v>1984</v>
      </c>
      <c r="C5085" s="341" t="s">
        <v>5334</v>
      </c>
    </row>
    <row r="5086" spans="1:3" x14ac:dyDescent="0.2">
      <c r="A5086" s="333">
        <v>39099804200</v>
      </c>
      <c r="B5086" t="s">
        <v>1985</v>
      </c>
      <c r="C5086" s="341" t="s">
        <v>5334</v>
      </c>
    </row>
    <row r="5087" spans="1:3" x14ac:dyDescent="0.2">
      <c r="A5087" s="333">
        <v>39099804300</v>
      </c>
      <c r="B5087" t="s">
        <v>1986</v>
      </c>
      <c r="C5087" s="341" t="s">
        <v>4330</v>
      </c>
    </row>
    <row r="5088" spans="1:3" x14ac:dyDescent="0.2">
      <c r="A5088" s="333">
        <v>39099810100</v>
      </c>
      <c r="B5088" t="s">
        <v>1987</v>
      </c>
      <c r="C5088" s="341" t="s">
        <v>5334</v>
      </c>
    </row>
    <row r="5089" spans="1:3" x14ac:dyDescent="0.2">
      <c r="A5089" s="333">
        <v>39099810200</v>
      </c>
      <c r="B5089" t="s">
        <v>1988</v>
      </c>
      <c r="C5089" s="341" t="s">
        <v>4330</v>
      </c>
    </row>
    <row r="5090" spans="1:3" x14ac:dyDescent="0.2">
      <c r="A5090" s="333">
        <v>39099810300</v>
      </c>
      <c r="B5090" t="s">
        <v>1989</v>
      </c>
      <c r="C5090" s="341" t="s">
        <v>4330</v>
      </c>
    </row>
    <row r="5091" spans="1:3" x14ac:dyDescent="0.2">
      <c r="A5091" s="333">
        <v>39099810600</v>
      </c>
      <c r="B5091" t="s">
        <v>1990</v>
      </c>
      <c r="C5091" s="341" t="s">
        <v>4330</v>
      </c>
    </row>
    <row r="5092" spans="1:3" x14ac:dyDescent="0.2">
      <c r="A5092" s="333">
        <v>39099810700</v>
      </c>
      <c r="B5092" t="s">
        <v>1991</v>
      </c>
      <c r="C5092" s="341" t="s">
        <v>5334</v>
      </c>
    </row>
    <row r="5093" spans="1:3" x14ac:dyDescent="0.2">
      <c r="A5093" s="333">
        <v>39099810800</v>
      </c>
      <c r="B5093" t="s">
        <v>1992</v>
      </c>
      <c r="C5093" s="341" t="s">
        <v>4330</v>
      </c>
    </row>
    <row r="5094" spans="1:3" x14ac:dyDescent="0.2">
      <c r="A5094" s="333">
        <v>39099810900</v>
      </c>
      <c r="B5094" t="s">
        <v>1993</v>
      </c>
      <c r="C5094" s="341" t="s">
        <v>5334</v>
      </c>
    </row>
    <row r="5095" spans="1:3" x14ac:dyDescent="0.2">
      <c r="A5095" s="333">
        <v>39099811001</v>
      </c>
      <c r="B5095" t="s">
        <v>1994</v>
      </c>
      <c r="C5095" s="341" t="s">
        <v>5334</v>
      </c>
    </row>
    <row r="5096" spans="1:3" x14ac:dyDescent="0.2">
      <c r="A5096" s="333">
        <v>39099811002</v>
      </c>
      <c r="B5096" t="s">
        <v>1995</v>
      </c>
      <c r="C5096" s="341" t="s">
        <v>5334</v>
      </c>
    </row>
    <row r="5097" spans="1:3" x14ac:dyDescent="0.2">
      <c r="A5097" s="333">
        <v>39099811100</v>
      </c>
      <c r="B5097" t="s">
        <v>1996</v>
      </c>
      <c r="C5097" s="341" t="s">
        <v>5334</v>
      </c>
    </row>
    <row r="5098" spans="1:3" x14ac:dyDescent="0.2">
      <c r="A5098" s="333">
        <v>39099811200</v>
      </c>
      <c r="B5098" t="s">
        <v>1997</v>
      </c>
      <c r="C5098" s="341" t="s">
        <v>5334</v>
      </c>
    </row>
    <row r="5099" spans="1:3" x14ac:dyDescent="0.2">
      <c r="A5099" s="333">
        <v>39099811301</v>
      </c>
      <c r="B5099" t="s">
        <v>5774</v>
      </c>
      <c r="C5099" s="341" t="s">
        <v>5334</v>
      </c>
    </row>
    <row r="5100" spans="1:3" x14ac:dyDescent="0.2">
      <c r="A5100" s="333">
        <v>39099811302</v>
      </c>
      <c r="B5100" t="s">
        <v>5775</v>
      </c>
      <c r="C5100" s="341" t="s">
        <v>5334</v>
      </c>
    </row>
    <row r="5101" spans="1:3" x14ac:dyDescent="0.2">
      <c r="A5101" s="333">
        <v>39099811400</v>
      </c>
      <c r="B5101" t="s">
        <v>1999</v>
      </c>
      <c r="C5101" s="341" t="s">
        <v>5334</v>
      </c>
    </row>
    <row r="5102" spans="1:3" x14ac:dyDescent="0.2">
      <c r="A5102" s="333">
        <v>39099811500</v>
      </c>
      <c r="B5102" t="s">
        <v>2000</v>
      </c>
      <c r="C5102" s="341" t="s">
        <v>5334</v>
      </c>
    </row>
    <row r="5103" spans="1:3" x14ac:dyDescent="0.2">
      <c r="A5103" s="333">
        <v>39099811600</v>
      </c>
      <c r="B5103" t="s">
        <v>2001</v>
      </c>
      <c r="C5103" s="341" t="s">
        <v>5334</v>
      </c>
    </row>
    <row r="5104" spans="1:3" x14ac:dyDescent="0.2">
      <c r="A5104" s="333">
        <v>39099811700</v>
      </c>
      <c r="B5104" t="s">
        <v>2002</v>
      </c>
      <c r="C5104" s="341" t="s">
        <v>5334</v>
      </c>
    </row>
    <row r="5105" spans="1:3" x14ac:dyDescent="0.2">
      <c r="A5105" s="333">
        <v>39099811800</v>
      </c>
      <c r="B5105" t="s">
        <v>2003</v>
      </c>
      <c r="C5105" s="341" t="s">
        <v>5334</v>
      </c>
    </row>
    <row r="5106" spans="1:3" x14ac:dyDescent="0.2">
      <c r="A5106" s="333">
        <v>39099811901</v>
      </c>
      <c r="B5106" t="s">
        <v>2004</v>
      </c>
      <c r="C5106" s="341" t="s">
        <v>5334</v>
      </c>
    </row>
    <row r="5107" spans="1:3" x14ac:dyDescent="0.2">
      <c r="A5107" s="333">
        <v>39099811902</v>
      </c>
      <c r="B5107" t="s">
        <v>2005</v>
      </c>
      <c r="C5107" s="341" t="s">
        <v>5334</v>
      </c>
    </row>
    <row r="5108" spans="1:3" x14ac:dyDescent="0.2">
      <c r="A5108" s="333">
        <v>39099812001</v>
      </c>
      <c r="B5108" t="s">
        <v>2006</v>
      </c>
      <c r="C5108" s="341" t="s">
        <v>5334</v>
      </c>
    </row>
    <row r="5109" spans="1:3" x14ac:dyDescent="0.2">
      <c r="A5109" s="333">
        <v>39099812002</v>
      </c>
      <c r="B5109" t="s">
        <v>2007</v>
      </c>
      <c r="C5109" s="341" t="s">
        <v>5334</v>
      </c>
    </row>
    <row r="5110" spans="1:3" x14ac:dyDescent="0.2">
      <c r="A5110" s="333">
        <v>39099812101</v>
      </c>
      <c r="B5110" t="s">
        <v>5776</v>
      </c>
      <c r="C5110" s="341" t="s">
        <v>5334</v>
      </c>
    </row>
    <row r="5111" spans="1:3" x14ac:dyDescent="0.2">
      <c r="A5111" s="333">
        <v>39099812102</v>
      </c>
      <c r="B5111" t="s">
        <v>5777</v>
      </c>
      <c r="C5111" s="341" t="s">
        <v>5334</v>
      </c>
    </row>
    <row r="5112" spans="1:3" x14ac:dyDescent="0.2">
      <c r="A5112" s="333">
        <v>39099812200</v>
      </c>
      <c r="B5112" t="s">
        <v>2009</v>
      </c>
      <c r="C5112" s="341" t="s">
        <v>5334</v>
      </c>
    </row>
    <row r="5113" spans="1:3" x14ac:dyDescent="0.2">
      <c r="A5113" s="333">
        <v>39099812301</v>
      </c>
      <c r="B5113" t="s">
        <v>2010</v>
      </c>
      <c r="C5113" s="341" t="s">
        <v>5334</v>
      </c>
    </row>
    <row r="5114" spans="1:3" x14ac:dyDescent="0.2">
      <c r="A5114" s="333">
        <v>39099812302</v>
      </c>
      <c r="B5114" t="s">
        <v>2011</v>
      </c>
      <c r="C5114" s="341" t="s">
        <v>5334</v>
      </c>
    </row>
    <row r="5115" spans="1:3" x14ac:dyDescent="0.2">
      <c r="A5115" s="333">
        <v>39099812400</v>
      </c>
      <c r="B5115" t="s">
        <v>2012</v>
      </c>
      <c r="C5115" s="341" t="s">
        <v>4330</v>
      </c>
    </row>
    <row r="5116" spans="1:3" x14ac:dyDescent="0.2">
      <c r="A5116" s="333">
        <v>39099812500</v>
      </c>
      <c r="B5116" t="s">
        <v>2013</v>
      </c>
      <c r="C5116" s="341" t="s">
        <v>5334</v>
      </c>
    </row>
    <row r="5117" spans="1:3" x14ac:dyDescent="0.2">
      <c r="A5117" s="333">
        <v>39099812601</v>
      </c>
      <c r="B5117" t="s">
        <v>2014</v>
      </c>
      <c r="C5117" s="341" t="s">
        <v>5334</v>
      </c>
    </row>
    <row r="5118" spans="1:3" x14ac:dyDescent="0.2">
      <c r="A5118" s="333">
        <v>39099812602</v>
      </c>
      <c r="B5118" t="s">
        <v>2015</v>
      </c>
      <c r="C5118" s="341" t="s">
        <v>5334</v>
      </c>
    </row>
    <row r="5119" spans="1:3" x14ac:dyDescent="0.2">
      <c r="A5119" s="333">
        <v>39099812604</v>
      </c>
      <c r="B5119" t="s">
        <v>5778</v>
      </c>
      <c r="C5119" s="341" t="s">
        <v>5334</v>
      </c>
    </row>
    <row r="5120" spans="1:3" x14ac:dyDescent="0.2">
      <c r="A5120" s="333">
        <v>39099812605</v>
      </c>
      <c r="B5120" t="s">
        <v>5779</v>
      </c>
      <c r="C5120" s="341" t="s">
        <v>5334</v>
      </c>
    </row>
    <row r="5121" spans="1:3" x14ac:dyDescent="0.2">
      <c r="A5121" s="333">
        <v>39099812700</v>
      </c>
      <c r="B5121" t="s">
        <v>2017</v>
      </c>
      <c r="C5121" s="341" t="s">
        <v>5334</v>
      </c>
    </row>
    <row r="5122" spans="1:3" x14ac:dyDescent="0.2">
      <c r="A5122" s="333">
        <v>39099812800</v>
      </c>
      <c r="B5122" t="s">
        <v>2018</v>
      </c>
      <c r="C5122" s="341" t="s">
        <v>5334</v>
      </c>
    </row>
    <row r="5123" spans="1:3" x14ac:dyDescent="0.2">
      <c r="A5123" s="333">
        <v>39099812900</v>
      </c>
      <c r="B5123" t="s">
        <v>2019</v>
      </c>
      <c r="C5123" s="341" t="s">
        <v>5334</v>
      </c>
    </row>
    <row r="5124" spans="1:3" x14ac:dyDescent="0.2">
      <c r="A5124" s="333">
        <v>39099813000</v>
      </c>
      <c r="B5124" t="s">
        <v>2020</v>
      </c>
      <c r="C5124" s="341" t="s">
        <v>5334</v>
      </c>
    </row>
    <row r="5125" spans="1:3" x14ac:dyDescent="0.2">
      <c r="A5125" s="333">
        <v>39099813200</v>
      </c>
      <c r="B5125" t="s">
        <v>2021</v>
      </c>
      <c r="C5125" s="341" t="s">
        <v>5334</v>
      </c>
    </row>
    <row r="5126" spans="1:3" x14ac:dyDescent="0.2">
      <c r="A5126" s="333">
        <v>39099813300</v>
      </c>
      <c r="B5126" t="s">
        <v>2022</v>
      </c>
      <c r="C5126" s="341" t="s">
        <v>5334</v>
      </c>
    </row>
    <row r="5127" spans="1:3" x14ac:dyDescent="0.2">
      <c r="A5127" s="333">
        <v>39099813400</v>
      </c>
      <c r="B5127" t="s">
        <v>2023</v>
      </c>
      <c r="C5127" s="341" t="s">
        <v>5334</v>
      </c>
    </row>
    <row r="5128" spans="1:3" x14ac:dyDescent="0.2">
      <c r="A5128" s="333">
        <v>39099813501</v>
      </c>
      <c r="B5128" t="s">
        <v>5780</v>
      </c>
      <c r="C5128" s="341" t="s">
        <v>5334</v>
      </c>
    </row>
    <row r="5129" spans="1:3" x14ac:dyDescent="0.2">
      <c r="A5129" s="333">
        <v>39099813502</v>
      </c>
      <c r="B5129" t="s">
        <v>5781</v>
      </c>
      <c r="C5129" s="341" t="s">
        <v>5334</v>
      </c>
    </row>
    <row r="5130" spans="1:3" x14ac:dyDescent="0.2">
      <c r="A5130" s="333">
        <v>39099813601</v>
      </c>
      <c r="B5130" t="s">
        <v>5782</v>
      </c>
      <c r="C5130" s="341" t="s">
        <v>5334</v>
      </c>
    </row>
    <row r="5131" spans="1:3" x14ac:dyDescent="0.2">
      <c r="A5131" s="333">
        <v>39099813602</v>
      </c>
      <c r="B5131" t="s">
        <v>5783</v>
      </c>
      <c r="C5131" s="341" t="s">
        <v>5334</v>
      </c>
    </row>
    <row r="5132" spans="1:3" x14ac:dyDescent="0.2">
      <c r="A5132" s="333">
        <v>39099813700</v>
      </c>
      <c r="B5132" t="s">
        <v>2026</v>
      </c>
      <c r="C5132" s="341" t="s">
        <v>4330</v>
      </c>
    </row>
    <row r="5133" spans="1:3" x14ac:dyDescent="0.2">
      <c r="A5133" s="333">
        <v>39099813800</v>
      </c>
      <c r="B5133" t="s">
        <v>2027</v>
      </c>
      <c r="C5133" s="341" t="s">
        <v>4330</v>
      </c>
    </row>
    <row r="5134" spans="1:3" x14ac:dyDescent="0.2">
      <c r="A5134" s="333">
        <v>39099813900</v>
      </c>
      <c r="B5134" t="s">
        <v>2028</v>
      </c>
      <c r="C5134" s="341" t="s">
        <v>4330</v>
      </c>
    </row>
    <row r="5135" spans="1:3" x14ac:dyDescent="0.2">
      <c r="A5135" s="333">
        <v>39099814000</v>
      </c>
      <c r="B5135" t="s">
        <v>2029</v>
      </c>
      <c r="C5135" s="341" t="s">
        <v>4330</v>
      </c>
    </row>
    <row r="5136" spans="1:3" x14ac:dyDescent="0.2">
      <c r="A5136" s="333">
        <v>39099814100</v>
      </c>
      <c r="B5136" t="s">
        <v>2030</v>
      </c>
      <c r="C5136" s="341" t="s">
        <v>4330</v>
      </c>
    </row>
    <row r="5137" spans="1:3" x14ac:dyDescent="0.2">
      <c r="A5137" s="333">
        <v>39099814200</v>
      </c>
      <c r="B5137" t="s">
        <v>5784</v>
      </c>
      <c r="C5137" s="341" t="s">
        <v>5334</v>
      </c>
    </row>
    <row r="5138" spans="1:3" x14ac:dyDescent="0.2">
      <c r="A5138" s="333">
        <v>39101000100</v>
      </c>
      <c r="B5138" t="s">
        <v>2031</v>
      </c>
      <c r="C5138" s="341" t="s">
        <v>4330</v>
      </c>
    </row>
    <row r="5139" spans="1:3" x14ac:dyDescent="0.2">
      <c r="A5139" s="333">
        <v>39101000200</v>
      </c>
      <c r="B5139" t="s">
        <v>2032</v>
      </c>
      <c r="C5139" s="341" t="s">
        <v>4330</v>
      </c>
    </row>
    <row r="5140" spans="1:3" x14ac:dyDescent="0.2">
      <c r="A5140" s="333">
        <v>39101000300</v>
      </c>
      <c r="B5140" t="s">
        <v>2033</v>
      </c>
      <c r="C5140" s="341" t="s">
        <v>4330</v>
      </c>
    </row>
    <row r="5141" spans="1:3" x14ac:dyDescent="0.2">
      <c r="A5141" s="333">
        <v>39101000400</v>
      </c>
      <c r="B5141" t="s">
        <v>2034</v>
      </c>
      <c r="C5141" s="341" t="s">
        <v>5334</v>
      </c>
    </row>
    <row r="5142" spans="1:3" x14ac:dyDescent="0.2">
      <c r="A5142" s="333">
        <v>39101000501</v>
      </c>
      <c r="B5142" t="s">
        <v>2035</v>
      </c>
      <c r="C5142" s="341" t="s">
        <v>5334</v>
      </c>
    </row>
    <row r="5143" spans="1:3" x14ac:dyDescent="0.2">
      <c r="A5143" s="333">
        <v>39101000502</v>
      </c>
      <c r="B5143" t="s">
        <v>2036</v>
      </c>
      <c r="C5143" s="341" t="s">
        <v>5334</v>
      </c>
    </row>
    <row r="5144" spans="1:3" x14ac:dyDescent="0.2">
      <c r="A5144" s="333">
        <v>39101000600</v>
      </c>
      <c r="B5144" t="s">
        <v>2037</v>
      </c>
      <c r="C5144" s="341" t="s">
        <v>5334</v>
      </c>
    </row>
    <row r="5145" spans="1:3" x14ac:dyDescent="0.2">
      <c r="A5145" s="333">
        <v>39101000700</v>
      </c>
      <c r="B5145" t="s">
        <v>2038</v>
      </c>
      <c r="C5145" s="341" t="s">
        <v>5334</v>
      </c>
    </row>
    <row r="5146" spans="1:3" x14ac:dyDescent="0.2">
      <c r="A5146" s="333">
        <v>39101000800</v>
      </c>
      <c r="B5146" t="s">
        <v>2039</v>
      </c>
      <c r="C5146" s="341" t="s">
        <v>5334</v>
      </c>
    </row>
    <row r="5147" spans="1:3" x14ac:dyDescent="0.2">
      <c r="A5147" s="333">
        <v>39101000900</v>
      </c>
      <c r="B5147" t="s">
        <v>2040</v>
      </c>
      <c r="C5147" s="341" t="s">
        <v>4330</v>
      </c>
    </row>
    <row r="5148" spans="1:3" x14ac:dyDescent="0.2">
      <c r="A5148" s="333">
        <v>39101001000</v>
      </c>
      <c r="B5148" t="s">
        <v>2041</v>
      </c>
      <c r="C5148" s="341" t="s">
        <v>5334</v>
      </c>
    </row>
    <row r="5149" spans="1:3" x14ac:dyDescent="0.2">
      <c r="A5149" s="333">
        <v>39101001100</v>
      </c>
      <c r="B5149" t="s">
        <v>2042</v>
      </c>
      <c r="C5149" s="341" t="s">
        <v>5334</v>
      </c>
    </row>
    <row r="5150" spans="1:3" x14ac:dyDescent="0.2">
      <c r="A5150" s="333">
        <v>39101010100</v>
      </c>
      <c r="B5150" t="s">
        <v>2043</v>
      </c>
      <c r="C5150" s="341" t="s">
        <v>5334</v>
      </c>
    </row>
    <row r="5151" spans="1:3" x14ac:dyDescent="0.2">
      <c r="A5151" s="333">
        <v>39101010201</v>
      </c>
      <c r="B5151" t="s">
        <v>2044</v>
      </c>
      <c r="C5151" s="341" t="s">
        <v>5334</v>
      </c>
    </row>
    <row r="5152" spans="1:3" x14ac:dyDescent="0.2">
      <c r="A5152" s="333">
        <v>39101010202</v>
      </c>
      <c r="B5152" t="s">
        <v>2045</v>
      </c>
      <c r="C5152" s="341" t="s">
        <v>5334</v>
      </c>
    </row>
    <row r="5153" spans="1:3" x14ac:dyDescent="0.2">
      <c r="A5153" s="333">
        <v>39101010300</v>
      </c>
      <c r="B5153" t="s">
        <v>2046</v>
      </c>
      <c r="C5153" s="341" t="s">
        <v>5334</v>
      </c>
    </row>
    <row r="5154" spans="1:3" x14ac:dyDescent="0.2">
      <c r="A5154" s="333">
        <v>39101010400</v>
      </c>
      <c r="B5154" t="s">
        <v>2047</v>
      </c>
      <c r="C5154" s="341" t="s">
        <v>5334</v>
      </c>
    </row>
    <row r="5155" spans="1:3" x14ac:dyDescent="0.2">
      <c r="A5155" s="333">
        <v>39101010500</v>
      </c>
      <c r="B5155" t="s">
        <v>2048</v>
      </c>
      <c r="C5155" s="341" t="s">
        <v>5334</v>
      </c>
    </row>
    <row r="5156" spans="1:3" x14ac:dyDescent="0.2">
      <c r="A5156" s="333">
        <v>39103400100</v>
      </c>
      <c r="B5156" t="s">
        <v>2049</v>
      </c>
      <c r="C5156" s="341" t="s">
        <v>5334</v>
      </c>
    </row>
    <row r="5157" spans="1:3" x14ac:dyDescent="0.2">
      <c r="A5157" s="333">
        <v>39103402000</v>
      </c>
      <c r="B5157" t="s">
        <v>2050</v>
      </c>
      <c r="C5157" s="341" t="s">
        <v>5334</v>
      </c>
    </row>
    <row r="5158" spans="1:3" x14ac:dyDescent="0.2">
      <c r="A5158" s="333">
        <v>39103403001</v>
      </c>
      <c r="B5158" t="s">
        <v>2051</v>
      </c>
      <c r="C5158" s="341" t="s">
        <v>5334</v>
      </c>
    </row>
    <row r="5159" spans="1:3" x14ac:dyDescent="0.2">
      <c r="A5159" s="333">
        <v>39103403002</v>
      </c>
      <c r="B5159" t="s">
        <v>2052</v>
      </c>
      <c r="C5159" s="341" t="s">
        <v>5334</v>
      </c>
    </row>
    <row r="5160" spans="1:3" x14ac:dyDescent="0.2">
      <c r="A5160" s="333">
        <v>39103404000</v>
      </c>
      <c r="B5160" t="s">
        <v>2053</v>
      </c>
      <c r="C5160" s="341" t="s">
        <v>5334</v>
      </c>
    </row>
    <row r="5161" spans="1:3" x14ac:dyDescent="0.2">
      <c r="A5161" s="333">
        <v>39103405000</v>
      </c>
      <c r="B5161" t="s">
        <v>2054</v>
      </c>
      <c r="C5161" s="341" t="s">
        <v>5334</v>
      </c>
    </row>
    <row r="5162" spans="1:3" x14ac:dyDescent="0.2">
      <c r="A5162" s="333">
        <v>39103406000</v>
      </c>
      <c r="B5162" t="s">
        <v>2055</v>
      </c>
      <c r="C5162" s="341" t="s">
        <v>5334</v>
      </c>
    </row>
    <row r="5163" spans="1:3" x14ac:dyDescent="0.2">
      <c r="A5163" s="333">
        <v>39103407000</v>
      </c>
      <c r="B5163" t="s">
        <v>2056</v>
      </c>
      <c r="C5163" s="341" t="s">
        <v>5334</v>
      </c>
    </row>
    <row r="5164" spans="1:3" x14ac:dyDescent="0.2">
      <c r="A5164" s="333">
        <v>39103408001</v>
      </c>
      <c r="B5164" t="s">
        <v>2057</v>
      </c>
      <c r="C5164" s="341" t="s">
        <v>5334</v>
      </c>
    </row>
    <row r="5165" spans="1:3" x14ac:dyDescent="0.2">
      <c r="A5165" s="333">
        <v>39103408002</v>
      </c>
      <c r="B5165" t="s">
        <v>2058</v>
      </c>
      <c r="C5165" s="341" t="s">
        <v>5334</v>
      </c>
    </row>
    <row r="5166" spans="1:3" x14ac:dyDescent="0.2">
      <c r="A5166" s="333">
        <v>39103408003</v>
      </c>
      <c r="B5166" t="s">
        <v>2059</v>
      </c>
      <c r="C5166" s="341" t="s">
        <v>5334</v>
      </c>
    </row>
    <row r="5167" spans="1:3" x14ac:dyDescent="0.2">
      <c r="A5167" s="333">
        <v>39103408101</v>
      </c>
      <c r="B5167" t="s">
        <v>5785</v>
      </c>
      <c r="C5167" s="341" t="s">
        <v>5334</v>
      </c>
    </row>
    <row r="5168" spans="1:3" x14ac:dyDescent="0.2">
      <c r="A5168" s="333">
        <v>39103408102</v>
      </c>
      <c r="B5168" t="s">
        <v>5786</v>
      </c>
      <c r="C5168" s="341" t="s">
        <v>5334</v>
      </c>
    </row>
    <row r="5169" spans="1:3" x14ac:dyDescent="0.2">
      <c r="A5169" s="333">
        <v>39103408201</v>
      </c>
      <c r="B5169" t="s">
        <v>2061</v>
      </c>
      <c r="C5169" s="341" t="s">
        <v>5334</v>
      </c>
    </row>
    <row r="5170" spans="1:3" x14ac:dyDescent="0.2">
      <c r="A5170" s="333">
        <v>39103408202</v>
      </c>
      <c r="B5170" t="s">
        <v>2062</v>
      </c>
      <c r="C5170" s="341" t="s">
        <v>5334</v>
      </c>
    </row>
    <row r="5171" spans="1:3" x14ac:dyDescent="0.2">
      <c r="A5171" s="333">
        <v>39103408301</v>
      </c>
      <c r="B5171" t="s">
        <v>2063</v>
      </c>
      <c r="C5171" s="341" t="s">
        <v>5334</v>
      </c>
    </row>
    <row r="5172" spans="1:3" x14ac:dyDescent="0.2">
      <c r="A5172" s="333">
        <v>39103408303</v>
      </c>
      <c r="B5172" t="s">
        <v>5787</v>
      </c>
      <c r="C5172" s="341" t="s">
        <v>5334</v>
      </c>
    </row>
    <row r="5173" spans="1:3" x14ac:dyDescent="0.2">
      <c r="A5173" s="333">
        <v>39103408304</v>
      </c>
      <c r="B5173" t="s">
        <v>5788</v>
      </c>
      <c r="C5173" s="341" t="s">
        <v>5334</v>
      </c>
    </row>
    <row r="5174" spans="1:3" x14ac:dyDescent="0.2">
      <c r="A5174" s="333">
        <v>39103408305</v>
      </c>
      <c r="B5174" t="s">
        <v>5789</v>
      </c>
      <c r="C5174" s="341" t="s">
        <v>5334</v>
      </c>
    </row>
    <row r="5175" spans="1:3" x14ac:dyDescent="0.2">
      <c r="A5175" s="333">
        <v>39103409001</v>
      </c>
      <c r="B5175" t="s">
        <v>2065</v>
      </c>
      <c r="C5175" s="341" t="s">
        <v>5334</v>
      </c>
    </row>
    <row r="5176" spans="1:3" x14ac:dyDescent="0.2">
      <c r="A5176" s="333">
        <v>39103409002</v>
      </c>
      <c r="B5176" t="s">
        <v>2066</v>
      </c>
      <c r="C5176" s="341" t="s">
        <v>5334</v>
      </c>
    </row>
    <row r="5177" spans="1:3" x14ac:dyDescent="0.2">
      <c r="A5177" s="333">
        <v>39103410000</v>
      </c>
      <c r="B5177" t="s">
        <v>2067</v>
      </c>
      <c r="C5177" s="341" t="s">
        <v>5334</v>
      </c>
    </row>
    <row r="5178" spans="1:3" x14ac:dyDescent="0.2">
      <c r="A5178" s="333">
        <v>39103411001</v>
      </c>
      <c r="B5178" t="s">
        <v>2068</v>
      </c>
      <c r="C5178" s="341" t="s">
        <v>5334</v>
      </c>
    </row>
    <row r="5179" spans="1:3" x14ac:dyDescent="0.2">
      <c r="A5179" s="333">
        <v>39103411002</v>
      </c>
      <c r="B5179" t="s">
        <v>2069</v>
      </c>
      <c r="C5179" s="341" t="s">
        <v>5334</v>
      </c>
    </row>
    <row r="5180" spans="1:3" x14ac:dyDescent="0.2">
      <c r="A5180" s="333">
        <v>39103412000</v>
      </c>
      <c r="B5180" t="s">
        <v>2070</v>
      </c>
      <c r="C5180" s="341" t="s">
        <v>5334</v>
      </c>
    </row>
    <row r="5181" spans="1:3" x14ac:dyDescent="0.2">
      <c r="A5181" s="333">
        <v>39103413000</v>
      </c>
      <c r="B5181" t="s">
        <v>2071</v>
      </c>
      <c r="C5181" s="341" t="s">
        <v>5334</v>
      </c>
    </row>
    <row r="5182" spans="1:3" x14ac:dyDescent="0.2">
      <c r="A5182" s="333">
        <v>39103415100</v>
      </c>
      <c r="B5182" t="s">
        <v>2072</v>
      </c>
      <c r="C5182" s="341" t="s">
        <v>5334</v>
      </c>
    </row>
    <row r="5183" spans="1:3" x14ac:dyDescent="0.2">
      <c r="A5183" s="333">
        <v>39103415200</v>
      </c>
      <c r="B5183" t="s">
        <v>2073</v>
      </c>
      <c r="C5183" s="341" t="s">
        <v>5334</v>
      </c>
    </row>
    <row r="5184" spans="1:3" x14ac:dyDescent="0.2">
      <c r="A5184" s="333">
        <v>39103415300</v>
      </c>
      <c r="B5184" t="s">
        <v>2074</v>
      </c>
      <c r="C5184" s="341" t="s">
        <v>5334</v>
      </c>
    </row>
    <row r="5185" spans="1:3" x14ac:dyDescent="0.2">
      <c r="A5185" s="333">
        <v>39103415400</v>
      </c>
      <c r="B5185" t="s">
        <v>2075</v>
      </c>
      <c r="C5185" s="341" t="s">
        <v>5334</v>
      </c>
    </row>
    <row r="5186" spans="1:3" x14ac:dyDescent="0.2">
      <c r="A5186" s="333">
        <v>39103415801</v>
      </c>
      <c r="B5186" t="s">
        <v>5790</v>
      </c>
      <c r="C5186" s="341" t="s">
        <v>5334</v>
      </c>
    </row>
    <row r="5187" spans="1:3" x14ac:dyDescent="0.2">
      <c r="A5187" s="333">
        <v>39103415802</v>
      </c>
      <c r="B5187" t="s">
        <v>5791</v>
      </c>
      <c r="C5187" s="341" t="s">
        <v>5334</v>
      </c>
    </row>
    <row r="5188" spans="1:3" x14ac:dyDescent="0.2">
      <c r="A5188" s="333">
        <v>39103416000</v>
      </c>
      <c r="B5188" t="s">
        <v>2077</v>
      </c>
      <c r="C5188" s="341" t="s">
        <v>5334</v>
      </c>
    </row>
    <row r="5189" spans="1:3" x14ac:dyDescent="0.2">
      <c r="A5189" s="333">
        <v>39103416100</v>
      </c>
      <c r="B5189" t="s">
        <v>2078</v>
      </c>
      <c r="C5189" s="341" t="s">
        <v>5334</v>
      </c>
    </row>
    <row r="5190" spans="1:3" x14ac:dyDescent="0.2">
      <c r="A5190" s="333">
        <v>39103416200</v>
      </c>
      <c r="B5190" t="s">
        <v>2079</v>
      </c>
      <c r="C5190" s="341" t="s">
        <v>5334</v>
      </c>
    </row>
    <row r="5191" spans="1:3" x14ac:dyDescent="0.2">
      <c r="A5191" s="333">
        <v>39103416300</v>
      </c>
      <c r="B5191" t="s">
        <v>2080</v>
      </c>
      <c r="C5191" s="341" t="s">
        <v>5334</v>
      </c>
    </row>
    <row r="5192" spans="1:3" x14ac:dyDescent="0.2">
      <c r="A5192" s="333">
        <v>39103416400</v>
      </c>
      <c r="B5192" t="s">
        <v>2081</v>
      </c>
      <c r="C5192" s="341" t="s">
        <v>5334</v>
      </c>
    </row>
    <row r="5193" spans="1:3" x14ac:dyDescent="0.2">
      <c r="A5193" s="333">
        <v>39103417001</v>
      </c>
      <c r="B5193" t="s">
        <v>5792</v>
      </c>
      <c r="C5193" s="341" t="s">
        <v>5334</v>
      </c>
    </row>
    <row r="5194" spans="1:3" x14ac:dyDescent="0.2">
      <c r="A5194" s="333">
        <v>39103417002</v>
      </c>
      <c r="B5194" t="s">
        <v>5793</v>
      </c>
      <c r="C5194" s="341" t="s">
        <v>5334</v>
      </c>
    </row>
    <row r="5195" spans="1:3" x14ac:dyDescent="0.2">
      <c r="A5195" s="333">
        <v>39103417100</v>
      </c>
      <c r="B5195" t="s">
        <v>2083</v>
      </c>
      <c r="C5195" s="341" t="s">
        <v>5334</v>
      </c>
    </row>
    <row r="5196" spans="1:3" x14ac:dyDescent="0.2">
      <c r="A5196" s="333">
        <v>39103417200</v>
      </c>
      <c r="B5196" t="s">
        <v>2084</v>
      </c>
      <c r="C5196" s="341" t="s">
        <v>5334</v>
      </c>
    </row>
    <row r="5197" spans="1:3" x14ac:dyDescent="0.2">
      <c r="A5197" s="333">
        <v>39103417300</v>
      </c>
      <c r="B5197" t="s">
        <v>2085</v>
      </c>
      <c r="C5197" s="341" t="s">
        <v>5334</v>
      </c>
    </row>
    <row r="5198" spans="1:3" x14ac:dyDescent="0.2">
      <c r="A5198" s="333">
        <v>39105964100</v>
      </c>
      <c r="B5198" t="s">
        <v>2086</v>
      </c>
      <c r="C5198" s="341" t="s">
        <v>5334</v>
      </c>
    </row>
    <row r="5199" spans="1:3" x14ac:dyDescent="0.2">
      <c r="A5199" s="333">
        <v>39105964200</v>
      </c>
      <c r="B5199" t="s">
        <v>2087</v>
      </c>
      <c r="C5199" s="341" t="s">
        <v>5334</v>
      </c>
    </row>
    <row r="5200" spans="1:3" x14ac:dyDescent="0.2">
      <c r="A5200" s="333">
        <v>39105964300</v>
      </c>
      <c r="B5200" t="s">
        <v>2088</v>
      </c>
      <c r="C5200" s="341" t="s">
        <v>5334</v>
      </c>
    </row>
    <row r="5201" spans="1:3" x14ac:dyDescent="0.2">
      <c r="A5201" s="333">
        <v>39105964400</v>
      </c>
      <c r="B5201" t="s">
        <v>2089</v>
      </c>
      <c r="C5201" s="341" t="s">
        <v>4330</v>
      </c>
    </row>
    <row r="5202" spans="1:3" x14ac:dyDescent="0.2">
      <c r="A5202" s="333">
        <v>39105964500</v>
      </c>
      <c r="B5202" t="s">
        <v>2090</v>
      </c>
      <c r="C5202" s="341" t="s">
        <v>4330</v>
      </c>
    </row>
    <row r="5203" spans="1:3" x14ac:dyDescent="0.2">
      <c r="A5203" s="333">
        <v>39105964600</v>
      </c>
      <c r="B5203" t="s">
        <v>2091</v>
      </c>
      <c r="C5203" s="341" t="s">
        <v>5334</v>
      </c>
    </row>
    <row r="5204" spans="1:3" x14ac:dyDescent="0.2">
      <c r="A5204" s="333">
        <v>39107967200</v>
      </c>
      <c r="B5204" t="s">
        <v>2092</v>
      </c>
      <c r="C5204" s="341" t="s">
        <v>5334</v>
      </c>
    </row>
    <row r="5205" spans="1:3" x14ac:dyDescent="0.2">
      <c r="A5205" s="333">
        <v>39107967300</v>
      </c>
      <c r="B5205" t="s">
        <v>2093</v>
      </c>
      <c r="C5205" s="341" t="s">
        <v>5334</v>
      </c>
    </row>
    <row r="5206" spans="1:3" x14ac:dyDescent="0.2">
      <c r="A5206" s="333">
        <v>39107967400</v>
      </c>
      <c r="B5206" t="s">
        <v>2094</v>
      </c>
      <c r="C5206" s="341" t="s">
        <v>5334</v>
      </c>
    </row>
    <row r="5207" spans="1:3" x14ac:dyDescent="0.2">
      <c r="A5207" s="333">
        <v>39107967500</v>
      </c>
      <c r="B5207" t="s">
        <v>2095</v>
      </c>
      <c r="C5207" s="341" t="s">
        <v>5334</v>
      </c>
    </row>
    <row r="5208" spans="1:3" x14ac:dyDescent="0.2">
      <c r="A5208" s="333">
        <v>39107967600</v>
      </c>
      <c r="B5208" t="s">
        <v>2096</v>
      </c>
      <c r="C5208" s="341" t="s">
        <v>5334</v>
      </c>
    </row>
    <row r="5209" spans="1:3" x14ac:dyDescent="0.2">
      <c r="A5209" s="333">
        <v>39107967700</v>
      </c>
      <c r="B5209" t="s">
        <v>2097</v>
      </c>
      <c r="C5209" s="341" t="s">
        <v>5334</v>
      </c>
    </row>
    <row r="5210" spans="1:3" x14ac:dyDescent="0.2">
      <c r="A5210" s="333">
        <v>39107967800</v>
      </c>
      <c r="B5210" t="s">
        <v>2098</v>
      </c>
      <c r="C5210" s="341" t="s">
        <v>5334</v>
      </c>
    </row>
    <row r="5211" spans="1:3" x14ac:dyDescent="0.2">
      <c r="A5211" s="333">
        <v>39107967900</v>
      </c>
      <c r="B5211" t="s">
        <v>2099</v>
      </c>
      <c r="C5211" s="341" t="s">
        <v>5334</v>
      </c>
    </row>
    <row r="5212" spans="1:3" x14ac:dyDescent="0.2">
      <c r="A5212" s="333">
        <v>39107968000</v>
      </c>
      <c r="B5212" t="s">
        <v>2100</v>
      </c>
      <c r="C5212" s="341" t="s">
        <v>5334</v>
      </c>
    </row>
    <row r="5213" spans="1:3" x14ac:dyDescent="0.2">
      <c r="A5213" s="333">
        <v>39109300100</v>
      </c>
      <c r="B5213" t="s">
        <v>2101</v>
      </c>
      <c r="C5213" s="341" t="s">
        <v>5334</v>
      </c>
    </row>
    <row r="5214" spans="1:3" x14ac:dyDescent="0.2">
      <c r="A5214" s="333">
        <v>39109315001</v>
      </c>
      <c r="B5214" t="s">
        <v>2102</v>
      </c>
      <c r="C5214" s="341" t="s">
        <v>5334</v>
      </c>
    </row>
    <row r="5215" spans="1:3" x14ac:dyDescent="0.2">
      <c r="A5215" s="333">
        <v>39109315002</v>
      </c>
      <c r="B5215" t="s">
        <v>2103</v>
      </c>
      <c r="C5215" s="341" t="s">
        <v>5334</v>
      </c>
    </row>
    <row r="5216" spans="1:3" x14ac:dyDescent="0.2">
      <c r="A5216" s="333">
        <v>39109315100</v>
      </c>
      <c r="B5216" t="s">
        <v>2104</v>
      </c>
      <c r="C5216" s="341" t="s">
        <v>5334</v>
      </c>
    </row>
    <row r="5217" spans="1:3" x14ac:dyDescent="0.2">
      <c r="A5217" s="333">
        <v>39109315300</v>
      </c>
      <c r="B5217" t="s">
        <v>2105</v>
      </c>
      <c r="C5217" s="341" t="s">
        <v>4330</v>
      </c>
    </row>
    <row r="5218" spans="1:3" x14ac:dyDescent="0.2">
      <c r="A5218" s="333">
        <v>39109320100</v>
      </c>
      <c r="B5218" t="s">
        <v>2106</v>
      </c>
      <c r="C5218" s="341" t="s">
        <v>5334</v>
      </c>
    </row>
    <row r="5219" spans="1:3" x14ac:dyDescent="0.2">
      <c r="A5219" s="333">
        <v>39109325000</v>
      </c>
      <c r="B5219" t="s">
        <v>2107</v>
      </c>
      <c r="C5219" s="341" t="s">
        <v>5334</v>
      </c>
    </row>
    <row r="5220" spans="1:3" x14ac:dyDescent="0.2">
      <c r="A5220" s="333">
        <v>39109330100</v>
      </c>
      <c r="B5220" t="s">
        <v>2108</v>
      </c>
      <c r="C5220" s="341" t="s">
        <v>5334</v>
      </c>
    </row>
    <row r="5221" spans="1:3" x14ac:dyDescent="0.2">
      <c r="A5221" s="333">
        <v>39109340100</v>
      </c>
      <c r="B5221" t="s">
        <v>2109</v>
      </c>
      <c r="C5221" s="341" t="s">
        <v>5334</v>
      </c>
    </row>
    <row r="5222" spans="1:3" x14ac:dyDescent="0.2">
      <c r="A5222" s="333">
        <v>39109345000</v>
      </c>
      <c r="B5222" t="s">
        <v>2110</v>
      </c>
      <c r="C5222" s="341" t="s">
        <v>5334</v>
      </c>
    </row>
    <row r="5223" spans="1:3" x14ac:dyDescent="0.2">
      <c r="A5223" s="333">
        <v>39109350101</v>
      </c>
      <c r="B5223" t="s">
        <v>5794</v>
      </c>
      <c r="C5223" s="341" t="s">
        <v>5334</v>
      </c>
    </row>
    <row r="5224" spans="1:3" x14ac:dyDescent="0.2">
      <c r="A5224" s="333">
        <v>39109350102</v>
      </c>
      <c r="B5224" t="s">
        <v>5795</v>
      </c>
      <c r="C5224" s="341" t="s">
        <v>5334</v>
      </c>
    </row>
    <row r="5225" spans="1:3" x14ac:dyDescent="0.2">
      <c r="A5225" s="333">
        <v>39109355001</v>
      </c>
      <c r="B5225" t="s">
        <v>2112</v>
      </c>
      <c r="C5225" s="341" t="s">
        <v>5334</v>
      </c>
    </row>
    <row r="5226" spans="1:3" x14ac:dyDescent="0.2">
      <c r="A5226" s="333">
        <v>39109355002</v>
      </c>
      <c r="B5226" t="s">
        <v>2113</v>
      </c>
      <c r="C5226" s="341" t="s">
        <v>5334</v>
      </c>
    </row>
    <row r="5227" spans="1:3" x14ac:dyDescent="0.2">
      <c r="A5227" s="333">
        <v>39109365001</v>
      </c>
      <c r="B5227" t="s">
        <v>5796</v>
      </c>
      <c r="C5227" s="341" t="s">
        <v>5334</v>
      </c>
    </row>
    <row r="5228" spans="1:3" x14ac:dyDescent="0.2">
      <c r="A5228" s="333">
        <v>39109365002</v>
      </c>
      <c r="B5228" t="s">
        <v>5797</v>
      </c>
      <c r="C5228" s="341" t="s">
        <v>5334</v>
      </c>
    </row>
    <row r="5229" spans="1:3" x14ac:dyDescent="0.2">
      <c r="A5229" s="333">
        <v>39109365101</v>
      </c>
      <c r="B5229" t="s">
        <v>2115</v>
      </c>
      <c r="C5229" s="341" t="s">
        <v>5334</v>
      </c>
    </row>
    <row r="5230" spans="1:3" x14ac:dyDescent="0.2">
      <c r="A5230" s="333">
        <v>39109365102</v>
      </c>
      <c r="B5230" t="s">
        <v>2116</v>
      </c>
      <c r="C5230" s="341" t="s">
        <v>5334</v>
      </c>
    </row>
    <row r="5231" spans="1:3" x14ac:dyDescent="0.2">
      <c r="A5231" s="333">
        <v>39109365200</v>
      </c>
      <c r="B5231" t="s">
        <v>2117</v>
      </c>
      <c r="C5231" s="341" t="s">
        <v>5334</v>
      </c>
    </row>
    <row r="5232" spans="1:3" x14ac:dyDescent="0.2">
      <c r="A5232" s="333">
        <v>39109365301</v>
      </c>
      <c r="B5232" t="s">
        <v>2118</v>
      </c>
      <c r="C5232" s="341" t="s">
        <v>5334</v>
      </c>
    </row>
    <row r="5233" spans="1:3" x14ac:dyDescent="0.2">
      <c r="A5233" s="333">
        <v>39109365302</v>
      </c>
      <c r="B5233" t="s">
        <v>2119</v>
      </c>
      <c r="C5233" s="341" t="s">
        <v>5334</v>
      </c>
    </row>
    <row r="5234" spans="1:3" x14ac:dyDescent="0.2">
      <c r="A5234" s="333">
        <v>39109380100</v>
      </c>
      <c r="B5234" t="s">
        <v>2120</v>
      </c>
      <c r="C5234" s="341" t="s">
        <v>5334</v>
      </c>
    </row>
    <row r="5235" spans="1:3" x14ac:dyDescent="0.2">
      <c r="A5235" s="333">
        <v>39109390100</v>
      </c>
      <c r="B5235" t="s">
        <v>2121</v>
      </c>
      <c r="C5235" s="341" t="s">
        <v>5334</v>
      </c>
    </row>
    <row r="5236" spans="1:3" x14ac:dyDescent="0.2">
      <c r="A5236" s="333">
        <v>39111966600</v>
      </c>
      <c r="B5236" t="s">
        <v>2122</v>
      </c>
      <c r="C5236" s="341" t="s">
        <v>5334</v>
      </c>
    </row>
    <row r="5237" spans="1:3" x14ac:dyDescent="0.2">
      <c r="A5237" s="333">
        <v>39111966700</v>
      </c>
      <c r="B5237" t="s">
        <v>2123</v>
      </c>
      <c r="C5237" s="341" t="s">
        <v>5334</v>
      </c>
    </row>
    <row r="5238" spans="1:3" x14ac:dyDescent="0.2">
      <c r="A5238" s="333">
        <v>39111966800</v>
      </c>
      <c r="B5238" t="s">
        <v>2124</v>
      </c>
      <c r="C5238" s="341" t="s">
        <v>5334</v>
      </c>
    </row>
    <row r="5239" spans="1:3" x14ac:dyDescent="0.2">
      <c r="A5239" s="333">
        <v>39111966900</v>
      </c>
      <c r="B5239" t="s">
        <v>2125</v>
      </c>
      <c r="C5239" s="341" t="s">
        <v>5334</v>
      </c>
    </row>
    <row r="5240" spans="1:3" x14ac:dyDescent="0.2">
      <c r="A5240" s="333">
        <v>39113000100</v>
      </c>
      <c r="B5240" t="s">
        <v>2126</v>
      </c>
      <c r="C5240" s="341" t="s">
        <v>4330</v>
      </c>
    </row>
    <row r="5241" spans="1:3" x14ac:dyDescent="0.2">
      <c r="A5241" s="333">
        <v>39113000200</v>
      </c>
      <c r="B5241" t="s">
        <v>2127</v>
      </c>
      <c r="C5241" s="341" t="s">
        <v>4330</v>
      </c>
    </row>
    <row r="5242" spans="1:3" x14ac:dyDescent="0.2">
      <c r="A5242" s="333">
        <v>39113000300</v>
      </c>
      <c r="B5242" t="s">
        <v>2128</v>
      </c>
      <c r="C5242" s="341" t="s">
        <v>4330</v>
      </c>
    </row>
    <row r="5243" spans="1:3" x14ac:dyDescent="0.2">
      <c r="A5243" s="333">
        <v>39113000400</v>
      </c>
      <c r="B5243" t="s">
        <v>2129</v>
      </c>
      <c r="C5243" s="341" t="s">
        <v>4330</v>
      </c>
    </row>
    <row r="5244" spans="1:3" x14ac:dyDescent="0.2">
      <c r="A5244" s="333">
        <v>39113000500</v>
      </c>
      <c r="B5244" t="s">
        <v>2130</v>
      </c>
      <c r="C5244" s="341" t="s">
        <v>4330</v>
      </c>
    </row>
    <row r="5245" spans="1:3" x14ac:dyDescent="0.2">
      <c r="A5245" s="333">
        <v>39113000600</v>
      </c>
      <c r="B5245" t="s">
        <v>2131</v>
      </c>
      <c r="C5245" s="341" t="s">
        <v>5334</v>
      </c>
    </row>
    <row r="5246" spans="1:3" x14ac:dyDescent="0.2">
      <c r="A5246" s="333">
        <v>39113000700</v>
      </c>
      <c r="B5246" t="s">
        <v>2132</v>
      </c>
      <c r="C5246" s="341" t="s">
        <v>4330</v>
      </c>
    </row>
    <row r="5247" spans="1:3" x14ac:dyDescent="0.2">
      <c r="A5247" s="333">
        <v>39113000801</v>
      </c>
      <c r="B5247" t="s">
        <v>2133</v>
      </c>
      <c r="C5247" s="341" t="s">
        <v>4330</v>
      </c>
    </row>
    <row r="5248" spans="1:3" x14ac:dyDescent="0.2">
      <c r="A5248" s="333">
        <v>39113000802</v>
      </c>
      <c r="B5248" t="s">
        <v>2134</v>
      </c>
      <c r="C5248" s="341" t="s">
        <v>4330</v>
      </c>
    </row>
    <row r="5249" spans="1:3" x14ac:dyDescent="0.2">
      <c r="A5249" s="333">
        <v>39113000900</v>
      </c>
      <c r="B5249" t="s">
        <v>2135</v>
      </c>
      <c r="C5249" s="341" t="s">
        <v>4330</v>
      </c>
    </row>
    <row r="5250" spans="1:3" x14ac:dyDescent="0.2">
      <c r="A5250" s="333">
        <v>39113001000</v>
      </c>
      <c r="B5250" t="s">
        <v>2136</v>
      </c>
      <c r="C5250" s="341" t="s">
        <v>4330</v>
      </c>
    </row>
    <row r="5251" spans="1:3" x14ac:dyDescent="0.2">
      <c r="A5251" s="333">
        <v>39113001100</v>
      </c>
      <c r="B5251" t="s">
        <v>2137</v>
      </c>
      <c r="C5251" s="341" t="s">
        <v>4330</v>
      </c>
    </row>
    <row r="5252" spans="1:3" x14ac:dyDescent="0.2">
      <c r="A5252" s="333">
        <v>39113001200</v>
      </c>
      <c r="B5252" t="s">
        <v>2138</v>
      </c>
      <c r="C5252" s="341" t="s">
        <v>4330</v>
      </c>
    </row>
    <row r="5253" spans="1:3" x14ac:dyDescent="0.2">
      <c r="A5253" s="333">
        <v>39113001501</v>
      </c>
      <c r="B5253" t="s">
        <v>2139</v>
      </c>
      <c r="C5253" s="341" t="s">
        <v>4330</v>
      </c>
    </row>
    <row r="5254" spans="1:3" x14ac:dyDescent="0.2">
      <c r="A5254" s="333">
        <v>39113001600</v>
      </c>
      <c r="B5254" t="s">
        <v>2140</v>
      </c>
      <c r="C5254" s="341" t="s">
        <v>5334</v>
      </c>
    </row>
    <row r="5255" spans="1:3" x14ac:dyDescent="0.2">
      <c r="A5255" s="333">
        <v>39113001700</v>
      </c>
      <c r="B5255" t="s">
        <v>2141</v>
      </c>
      <c r="C5255" s="341" t="s">
        <v>4330</v>
      </c>
    </row>
    <row r="5256" spans="1:3" x14ac:dyDescent="0.2">
      <c r="A5256" s="333">
        <v>39113001801</v>
      </c>
      <c r="B5256" t="s">
        <v>5798</v>
      </c>
      <c r="C5256" s="341" t="s">
        <v>4330</v>
      </c>
    </row>
    <row r="5257" spans="1:3" x14ac:dyDescent="0.2">
      <c r="A5257" s="333">
        <v>39113001802</v>
      </c>
      <c r="B5257" t="s">
        <v>5799</v>
      </c>
      <c r="C5257" s="341" t="s">
        <v>4330</v>
      </c>
    </row>
    <row r="5258" spans="1:3" x14ac:dyDescent="0.2">
      <c r="A5258" s="333">
        <v>39113001900</v>
      </c>
      <c r="B5258" t="s">
        <v>2143</v>
      </c>
      <c r="C5258" s="341" t="s">
        <v>4330</v>
      </c>
    </row>
    <row r="5259" spans="1:3" x14ac:dyDescent="0.2">
      <c r="A5259" s="333">
        <v>39113002000</v>
      </c>
      <c r="B5259" t="s">
        <v>2144</v>
      </c>
      <c r="C5259" s="341" t="s">
        <v>4330</v>
      </c>
    </row>
    <row r="5260" spans="1:3" x14ac:dyDescent="0.2">
      <c r="A5260" s="333">
        <v>39113002200</v>
      </c>
      <c r="B5260" t="s">
        <v>2145</v>
      </c>
      <c r="C5260" s="341" t="s">
        <v>4330</v>
      </c>
    </row>
    <row r="5261" spans="1:3" x14ac:dyDescent="0.2">
      <c r="A5261" s="333">
        <v>39113002300</v>
      </c>
      <c r="B5261" t="s">
        <v>2146</v>
      </c>
      <c r="C5261" s="341" t="s">
        <v>4330</v>
      </c>
    </row>
    <row r="5262" spans="1:3" x14ac:dyDescent="0.2">
      <c r="A5262" s="333">
        <v>39113002400</v>
      </c>
      <c r="B5262" t="s">
        <v>2147</v>
      </c>
      <c r="C5262" s="341" t="s">
        <v>4330</v>
      </c>
    </row>
    <row r="5263" spans="1:3" x14ac:dyDescent="0.2">
      <c r="A5263" s="333">
        <v>39113002500</v>
      </c>
      <c r="B5263" t="s">
        <v>2148</v>
      </c>
      <c r="C5263" s="341" t="s">
        <v>5334</v>
      </c>
    </row>
    <row r="5264" spans="1:3" x14ac:dyDescent="0.2">
      <c r="A5264" s="333">
        <v>39113002600</v>
      </c>
      <c r="B5264" t="s">
        <v>2149</v>
      </c>
      <c r="C5264" s="341" t="s">
        <v>4330</v>
      </c>
    </row>
    <row r="5265" spans="1:3" x14ac:dyDescent="0.2">
      <c r="A5265" s="333">
        <v>39113002700</v>
      </c>
      <c r="B5265" t="s">
        <v>2150</v>
      </c>
      <c r="C5265" s="341" t="s">
        <v>5334</v>
      </c>
    </row>
    <row r="5266" spans="1:3" x14ac:dyDescent="0.2">
      <c r="A5266" s="333">
        <v>39113002800</v>
      </c>
      <c r="B5266" t="s">
        <v>2151</v>
      </c>
      <c r="C5266" s="341" t="s">
        <v>5334</v>
      </c>
    </row>
    <row r="5267" spans="1:3" x14ac:dyDescent="0.2">
      <c r="A5267" s="333">
        <v>39113002900</v>
      </c>
      <c r="B5267" t="s">
        <v>2152</v>
      </c>
      <c r="C5267" s="341" t="s">
        <v>5334</v>
      </c>
    </row>
    <row r="5268" spans="1:3" x14ac:dyDescent="0.2">
      <c r="A5268" s="333">
        <v>39113003000</v>
      </c>
      <c r="B5268" t="s">
        <v>2153</v>
      </c>
      <c r="C5268" s="341" t="s">
        <v>5334</v>
      </c>
    </row>
    <row r="5269" spans="1:3" x14ac:dyDescent="0.2">
      <c r="A5269" s="333">
        <v>39113003100</v>
      </c>
      <c r="B5269" t="s">
        <v>2154</v>
      </c>
      <c r="C5269" s="341" t="s">
        <v>4330</v>
      </c>
    </row>
    <row r="5270" spans="1:3" x14ac:dyDescent="0.2">
      <c r="A5270" s="333">
        <v>39113003201</v>
      </c>
      <c r="B5270" t="s">
        <v>2155</v>
      </c>
      <c r="C5270" s="341" t="s">
        <v>5334</v>
      </c>
    </row>
    <row r="5271" spans="1:3" x14ac:dyDescent="0.2">
      <c r="A5271" s="333">
        <v>39113003300</v>
      </c>
      <c r="B5271" t="s">
        <v>2156</v>
      </c>
      <c r="C5271" s="341" t="s">
        <v>4330</v>
      </c>
    </row>
    <row r="5272" spans="1:3" x14ac:dyDescent="0.2">
      <c r="A5272" s="333">
        <v>39113003402</v>
      </c>
      <c r="B5272" t="s">
        <v>2157</v>
      </c>
      <c r="C5272" s="341" t="s">
        <v>4330</v>
      </c>
    </row>
    <row r="5273" spans="1:3" x14ac:dyDescent="0.2">
      <c r="A5273" s="333">
        <v>39113003403</v>
      </c>
      <c r="B5273" t="s">
        <v>2158</v>
      </c>
      <c r="C5273" s="341" t="s">
        <v>5334</v>
      </c>
    </row>
    <row r="5274" spans="1:3" x14ac:dyDescent="0.2">
      <c r="A5274" s="333">
        <v>39113003404</v>
      </c>
      <c r="B5274" t="s">
        <v>2159</v>
      </c>
      <c r="C5274" s="341" t="s">
        <v>4330</v>
      </c>
    </row>
    <row r="5275" spans="1:3" x14ac:dyDescent="0.2">
      <c r="A5275" s="333">
        <v>39113003500</v>
      </c>
      <c r="B5275" t="s">
        <v>2160</v>
      </c>
      <c r="C5275" s="341" t="s">
        <v>4330</v>
      </c>
    </row>
    <row r="5276" spans="1:3" x14ac:dyDescent="0.2">
      <c r="A5276" s="333">
        <v>39113003800</v>
      </c>
      <c r="B5276" t="s">
        <v>2161</v>
      </c>
      <c r="C5276" s="341" t="s">
        <v>4330</v>
      </c>
    </row>
    <row r="5277" spans="1:3" x14ac:dyDescent="0.2">
      <c r="A5277" s="333">
        <v>39113003900</v>
      </c>
      <c r="B5277" t="s">
        <v>2162</v>
      </c>
      <c r="C5277" s="341" t="s">
        <v>4330</v>
      </c>
    </row>
    <row r="5278" spans="1:3" x14ac:dyDescent="0.2">
      <c r="A5278" s="333">
        <v>39113004100</v>
      </c>
      <c r="B5278" t="s">
        <v>2163</v>
      </c>
      <c r="C5278" s="341" t="s">
        <v>4330</v>
      </c>
    </row>
    <row r="5279" spans="1:3" x14ac:dyDescent="0.2">
      <c r="A5279" s="333">
        <v>39113004200</v>
      </c>
      <c r="B5279" t="s">
        <v>2164</v>
      </c>
      <c r="C5279" s="341" t="s">
        <v>4330</v>
      </c>
    </row>
    <row r="5280" spans="1:3" x14ac:dyDescent="0.2">
      <c r="A5280" s="333">
        <v>39113004300</v>
      </c>
      <c r="B5280" t="s">
        <v>2165</v>
      </c>
      <c r="C5280" s="341" t="s">
        <v>4330</v>
      </c>
    </row>
    <row r="5281" spans="1:3" x14ac:dyDescent="0.2">
      <c r="A5281" s="333">
        <v>39113004400</v>
      </c>
      <c r="B5281" t="s">
        <v>2166</v>
      </c>
      <c r="C5281" s="341" t="s">
        <v>4330</v>
      </c>
    </row>
    <row r="5282" spans="1:3" x14ac:dyDescent="0.2">
      <c r="A5282" s="333">
        <v>39113004600</v>
      </c>
      <c r="B5282" t="s">
        <v>2167</v>
      </c>
      <c r="C5282" s="341" t="s">
        <v>4330</v>
      </c>
    </row>
    <row r="5283" spans="1:3" x14ac:dyDescent="0.2">
      <c r="A5283" s="333">
        <v>39113010100</v>
      </c>
      <c r="B5283" t="s">
        <v>2168</v>
      </c>
      <c r="C5283" s="341" t="s">
        <v>5334</v>
      </c>
    </row>
    <row r="5284" spans="1:3" x14ac:dyDescent="0.2">
      <c r="A5284" s="333">
        <v>39113010200</v>
      </c>
      <c r="B5284" t="s">
        <v>2169</v>
      </c>
      <c r="C5284" s="341" t="s">
        <v>5334</v>
      </c>
    </row>
    <row r="5285" spans="1:3" x14ac:dyDescent="0.2">
      <c r="A5285" s="333">
        <v>39113020100</v>
      </c>
      <c r="B5285" t="s">
        <v>2170</v>
      </c>
      <c r="C5285" s="341" t="s">
        <v>5334</v>
      </c>
    </row>
    <row r="5286" spans="1:3" x14ac:dyDescent="0.2">
      <c r="A5286" s="333">
        <v>39113020200</v>
      </c>
      <c r="B5286" t="s">
        <v>2171</v>
      </c>
      <c r="C5286" s="341" t="s">
        <v>5334</v>
      </c>
    </row>
    <row r="5287" spans="1:3" x14ac:dyDescent="0.2">
      <c r="A5287" s="333">
        <v>39113020300</v>
      </c>
      <c r="B5287" t="s">
        <v>2172</v>
      </c>
      <c r="C5287" s="341" t="s">
        <v>5334</v>
      </c>
    </row>
    <row r="5288" spans="1:3" x14ac:dyDescent="0.2">
      <c r="A5288" s="333">
        <v>39113020400</v>
      </c>
      <c r="B5288" t="s">
        <v>2173</v>
      </c>
      <c r="C5288" s="341" t="s">
        <v>5334</v>
      </c>
    </row>
    <row r="5289" spans="1:3" x14ac:dyDescent="0.2">
      <c r="A5289" s="333">
        <v>39113020500</v>
      </c>
      <c r="B5289" t="s">
        <v>2174</v>
      </c>
      <c r="C5289" s="341" t="s">
        <v>5334</v>
      </c>
    </row>
    <row r="5290" spans="1:3" x14ac:dyDescent="0.2">
      <c r="A5290" s="333">
        <v>39113020601</v>
      </c>
      <c r="B5290" t="s">
        <v>2175</v>
      </c>
      <c r="C5290" s="341" t="s">
        <v>5334</v>
      </c>
    </row>
    <row r="5291" spans="1:3" x14ac:dyDescent="0.2">
      <c r="A5291" s="333">
        <v>39113020602</v>
      </c>
      <c r="B5291" t="s">
        <v>2176</v>
      </c>
      <c r="C5291" s="341" t="s">
        <v>5334</v>
      </c>
    </row>
    <row r="5292" spans="1:3" x14ac:dyDescent="0.2">
      <c r="A5292" s="333">
        <v>39113020700</v>
      </c>
      <c r="B5292" t="s">
        <v>2177</v>
      </c>
      <c r="C5292" s="341" t="s">
        <v>5334</v>
      </c>
    </row>
    <row r="5293" spans="1:3" x14ac:dyDescent="0.2">
      <c r="A5293" s="333">
        <v>39113020800</v>
      </c>
      <c r="B5293" t="s">
        <v>2178</v>
      </c>
      <c r="C5293" s="341" t="s">
        <v>5334</v>
      </c>
    </row>
    <row r="5294" spans="1:3" x14ac:dyDescent="0.2">
      <c r="A5294" s="333">
        <v>39113020900</v>
      </c>
      <c r="B5294" t="s">
        <v>2179</v>
      </c>
      <c r="C5294" s="341" t="s">
        <v>5334</v>
      </c>
    </row>
    <row r="5295" spans="1:3" x14ac:dyDescent="0.2">
      <c r="A5295" s="333">
        <v>39113021000</v>
      </c>
      <c r="B5295" t="s">
        <v>2180</v>
      </c>
      <c r="C5295" s="341" t="s">
        <v>5334</v>
      </c>
    </row>
    <row r="5296" spans="1:3" x14ac:dyDescent="0.2">
      <c r="A5296" s="333">
        <v>39113021100</v>
      </c>
      <c r="B5296" t="s">
        <v>2181</v>
      </c>
      <c r="C5296" s="341" t="s">
        <v>5334</v>
      </c>
    </row>
    <row r="5297" spans="1:3" x14ac:dyDescent="0.2">
      <c r="A5297" s="333">
        <v>39113021200</v>
      </c>
      <c r="B5297" t="s">
        <v>2182</v>
      </c>
      <c r="C5297" s="341" t="s">
        <v>5334</v>
      </c>
    </row>
    <row r="5298" spans="1:3" x14ac:dyDescent="0.2">
      <c r="A5298" s="333">
        <v>39113021301</v>
      </c>
      <c r="B5298" t="s">
        <v>2183</v>
      </c>
      <c r="C5298" s="341" t="s">
        <v>5334</v>
      </c>
    </row>
    <row r="5299" spans="1:3" x14ac:dyDescent="0.2">
      <c r="A5299" s="333">
        <v>39113021302</v>
      </c>
      <c r="B5299" t="s">
        <v>2184</v>
      </c>
      <c r="C5299" s="341" t="s">
        <v>5334</v>
      </c>
    </row>
    <row r="5300" spans="1:3" x14ac:dyDescent="0.2">
      <c r="A5300" s="333">
        <v>39113021400</v>
      </c>
      <c r="B5300" t="s">
        <v>2185</v>
      </c>
      <c r="C5300" s="341" t="s">
        <v>5334</v>
      </c>
    </row>
    <row r="5301" spans="1:3" x14ac:dyDescent="0.2">
      <c r="A5301" s="333">
        <v>39113021501</v>
      </c>
      <c r="B5301" t="s">
        <v>2186</v>
      </c>
      <c r="C5301" s="341" t="s">
        <v>5334</v>
      </c>
    </row>
    <row r="5302" spans="1:3" x14ac:dyDescent="0.2">
      <c r="A5302" s="333">
        <v>39113021502</v>
      </c>
      <c r="B5302" t="s">
        <v>2187</v>
      </c>
      <c r="C5302" s="341" t="s">
        <v>5334</v>
      </c>
    </row>
    <row r="5303" spans="1:3" x14ac:dyDescent="0.2">
      <c r="A5303" s="333">
        <v>39113021601</v>
      </c>
      <c r="B5303" t="s">
        <v>2188</v>
      </c>
      <c r="C5303" s="341" t="s">
        <v>5334</v>
      </c>
    </row>
    <row r="5304" spans="1:3" x14ac:dyDescent="0.2">
      <c r="A5304" s="333">
        <v>39113021602</v>
      </c>
      <c r="B5304" t="s">
        <v>2189</v>
      </c>
      <c r="C5304" s="341" t="s">
        <v>5334</v>
      </c>
    </row>
    <row r="5305" spans="1:3" x14ac:dyDescent="0.2">
      <c r="A5305" s="333">
        <v>39113021700</v>
      </c>
      <c r="B5305" t="s">
        <v>2190</v>
      </c>
      <c r="C5305" s="341" t="s">
        <v>5334</v>
      </c>
    </row>
    <row r="5306" spans="1:3" x14ac:dyDescent="0.2">
      <c r="A5306" s="333">
        <v>39113021800</v>
      </c>
      <c r="B5306" t="s">
        <v>2191</v>
      </c>
      <c r="C5306" s="341" t="s">
        <v>4330</v>
      </c>
    </row>
    <row r="5307" spans="1:3" x14ac:dyDescent="0.2">
      <c r="A5307" s="333">
        <v>39113021900</v>
      </c>
      <c r="B5307" t="s">
        <v>2192</v>
      </c>
      <c r="C5307" s="341" t="s">
        <v>5334</v>
      </c>
    </row>
    <row r="5308" spans="1:3" x14ac:dyDescent="0.2">
      <c r="A5308" s="333">
        <v>39113030100</v>
      </c>
      <c r="B5308" t="s">
        <v>2193</v>
      </c>
      <c r="C5308" s="341" t="s">
        <v>5334</v>
      </c>
    </row>
    <row r="5309" spans="1:3" x14ac:dyDescent="0.2">
      <c r="A5309" s="333">
        <v>39113030200</v>
      </c>
      <c r="B5309" t="s">
        <v>2194</v>
      </c>
      <c r="C5309" s="341" t="s">
        <v>5334</v>
      </c>
    </row>
    <row r="5310" spans="1:3" x14ac:dyDescent="0.2">
      <c r="A5310" s="333">
        <v>39113040101</v>
      </c>
      <c r="B5310" t="s">
        <v>2195</v>
      </c>
      <c r="C5310" s="341" t="s">
        <v>5334</v>
      </c>
    </row>
    <row r="5311" spans="1:3" x14ac:dyDescent="0.2">
      <c r="A5311" s="333">
        <v>39113040102</v>
      </c>
      <c r="B5311" t="s">
        <v>2196</v>
      </c>
      <c r="C5311" s="341" t="s">
        <v>5334</v>
      </c>
    </row>
    <row r="5312" spans="1:3" x14ac:dyDescent="0.2">
      <c r="A5312" s="333">
        <v>39113040103</v>
      </c>
      <c r="B5312" t="s">
        <v>2197</v>
      </c>
      <c r="C5312" s="341" t="s">
        <v>5334</v>
      </c>
    </row>
    <row r="5313" spans="1:3" x14ac:dyDescent="0.2">
      <c r="A5313" s="333">
        <v>39113040201</v>
      </c>
      <c r="B5313" t="s">
        <v>2198</v>
      </c>
      <c r="C5313" s="341" t="s">
        <v>5334</v>
      </c>
    </row>
    <row r="5314" spans="1:3" x14ac:dyDescent="0.2">
      <c r="A5314" s="333">
        <v>39113040203</v>
      </c>
      <c r="B5314" t="s">
        <v>2199</v>
      </c>
      <c r="C5314" s="341" t="s">
        <v>5334</v>
      </c>
    </row>
    <row r="5315" spans="1:3" x14ac:dyDescent="0.2">
      <c r="A5315" s="333">
        <v>39113040204</v>
      </c>
      <c r="B5315" t="s">
        <v>2200</v>
      </c>
      <c r="C5315" s="341" t="s">
        <v>5334</v>
      </c>
    </row>
    <row r="5316" spans="1:3" x14ac:dyDescent="0.2">
      <c r="A5316" s="333">
        <v>39113040302</v>
      </c>
      <c r="B5316" t="s">
        <v>2201</v>
      </c>
      <c r="C5316" s="341" t="s">
        <v>5334</v>
      </c>
    </row>
    <row r="5317" spans="1:3" x14ac:dyDescent="0.2">
      <c r="A5317" s="333">
        <v>39113040303</v>
      </c>
      <c r="B5317" t="s">
        <v>2202</v>
      </c>
      <c r="C5317" s="341" t="s">
        <v>5334</v>
      </c>
    </row>
    <row r="5318" spans="1:3" x14ac:dyDescent="0.2">
      <c r="A5318" s="333">
        <v>39113040305</v>
      </c>
      <c r="B5318" t="s">
        <v>2203</v>
      </c>
      <c r="C5318" s="341" t="s">
        <v>5334</v>
      </c>
    </row>
    <row r="5319" spans="1:3" x14ac:dyDescent="0.2">
      <c r="A5319" s="333">
        <v>39113040306</v>
      </c>
      <c r="B5319" t="s">
        <v>2204</v>
      </c>
      <c r="C5319" s="341" t="s">
        <v>5334</v>
      </c>
    </row>
    <row r="5320" spans="1:3" x14ac:dyDescent="0.2">
      <c r="A5320" s="333">
        <v>39113040401</v>
      </c>
      <c r="B5320" t="s">
        <v>2205</v>
      </c>
      <c r="C5320" s="341" t="s">
        <v>5334</v>
      </c>
    </row>
    <row r="5321" spans="1:3" x14ac:dyDescent="0.2">
      <c r="A5321" s="333">
        <v>39113040403</v>
      </c>
      <c r="B5321" t="s">
        <v>2206</v>
      </c>
      <c r="C5321" s="341" t="s">
        <v>5334</v>
      </c>
    </row>
    <row r="5322" spans="1:3" x14ac:dyDescent="0.2">
      <c r="A5322" s="333">
        <v>39113040405</v>
      </c>
      <c r="B5322" t="s">
        <v>2207</v>
      </c>
      <c r="C5322" s="341" t="s">
        <v>5334</v>
      </c>
    </row>
    <row r="5323" spans="1:3" x14ac:dyDescent="0.2">
      <c r="A5323" s="333">
        <v>39113040406</v>
      </c>
      <c r="B5323" t="s">
        <v>2208</v>
      </c>
      <c r="C5323" s="341" t="s">
        <v>5334</v>
      </c>
    </row>
    <row r="5324" spans="1:3" x14ac:dyDescent="0.2">
      <c r="A5324" s="333">
        <v>39113050101</v>
      </c>
      <c r="B5324" t="s">
        <v>2209</v>
      </c>
      <c r="C5324" s="341" t="s">
        <v>5334</v>
      </c>
    </row>
    <row r="5325" spans="1:3" x14ac:dyDescent="0.2">
      <c r="A5325" s="333">
        <v>39113050104</v>
      </c>
      <c r="B5325" t="s">
        <v>2211</v>
      </c>
      <c r="C5325" s="341" t="s">
        <v>5334</v>
      </c>
    </row>
    <row r="5326" spans="1:3" x14ac:dyDescent="0.2">
      <c r="A5326" s="333">
        <v>39113050105</v>
      </c>
      <c r="B5326" t="s">
        <v>2212</v>
      </c>
      <c r="C5326" s="341" t="s">
        <v>5334</v>
      </c>
    </row>
    <row r="5327" spans="1:3" x14ac:dyDescent="0.2">
      <c r="A5327" s="333">
        <v>39113050106</v>
      </c>
      <c r="B5327" t="s">
        <v>5800</v>
      </c>
      <c r="C5327" s="341" t="s">
        <v>5334</v>
      </c>
    </row>
    <row r="5328" spans="1:3" x14ac:dyDescent="0.2">
      <c r="A5328" s="333">
        <v>39113050107</v>
      </c>
      <c r="B5328" t="s">
        <v>5801</v>
      </c>
      <c r="C5328" s="341" t="s">
        <v>5334</v>
      </c>
    </row>
    <row r="5329" spans="1:3" x14ac:dyDescent="0.2">
      <c r="A5329" s="333">
        <v>39113050301</v>
      </c>
      <c r="B5329" t="s">
        <v>2213</v>
      </c>
      <c r="C5329" s="341" t="s">
        <v>5334</v>
      </c>
    </row>
    <row r="5330" spans="1:3" x14ac:dyDescent="0.2">
      <c r="A5330" s="333">
        <v>39113050302</v>
      </c>
      <c r="B5330" t="s">
        <v>2214</v>
      </c>
      <c r="C5330" s="341" t="s">
        <v>5334</v>
      </c>
    </row>
    <row r="5331" spans="1:3" x14ac:dyDescent="0.2">
      <c r="A5331" s="333">
        <v>39113050303</v>
      </c>
      <c r="B5331" t="s">
        <v>2215</v>
      </c>
      <c r="C5331" s="341" t="s">
        <v>5334</v>
      </c>
    </row>
    <row r="5332" spans="1:3" x14ac:dyDescent="0.2">
      <c r="A5332" s="333">
        <v>39113050401</v>
      </c>
      <c r="B5332" t="s">
        <v>2216</v>
      </c>
      <c r="C5332" s="341" t="s">
        <v>5334</v>
      </c>
    </row>
    <row r="5333" spans="1:3" x14ac:dyDescent="0.2">
      <c r="A5333" s="333">
        <v>39113050402</v>
      </c>
      <c r="B5333" t="s">
        <v>2217</v>
      </c>
      <c r="C5333" s="341" t="s">
        <v>5334</v>
      </c>
    </row>
    <row r="5334" spans="1:3" x14ac:dyDescent="0.2">
      <c r="A5334" s="333">
        <v>39113050502</v>
      </c>
      <c r="B5334" t="s">
        <v>2218</v>
      </c>
      <c r="C5334" s="341" t="s">
        <v>5334</v>
      </c>
    </row>
    <row r="5335" spans="1:3" x14ac:dyDescent="0.2">
      <c r="A5335" s="333">
        <v>39113050503</v>
      </c>
      <c r="B5335" t="s">
        <v>2219</v>
      </c>
      <c r="C5335" s="341" t="s">
        <v>5334</v>
      </c>
    </row>
    <row r="5336" spans="1:3" x14ac:dyDescent="0.2">
      <c r="A5336" s="333">
        <v>39113050504</v>
      </c>
      <c r="B5336" t="s">
        <v>2220</v>
      </c>
      <c r="C5336" s="341" t="s">
        <v>5334</v>
      </c>
    </row>
    <row r="5337" spans="1:3" x14ac:dyDescent="0.2">
      <c r="A5337" s="333">
        <v>39113050600</v>
      </c>
      <c r="B5337" t="s">
        <v>2221</v>
      </c>
      <c r="C5337" s="341" t="s">
        <v>5334</v>
      </c>
    </row>
    <row r="5338" spans="1:3" x14ac:dyDescent="0.2">
      <c r="A5338" s="333">
        <v>39113060100</v>
      </c>
      <c r="B5338" t="s">
        <v>2222</v>
      </c>
      <c r="C5338" s="341" t="s">
        <v>5334</v>
      </c>
    </row>
    <row r="5339" spans="1:3" x14ac:dyDescent="0.2">
      <c r="A5339" s="333">
        <v>39113060200</v>
      </c>
      <c r="B5339" t="s">
        <v>2223</v>
      </c>
      <c r="C5339" s="341" t="s">
        <v>4330</v>
      </c>
    </row>
    <row r="5340" spans="1:3" x14ac:dyDescent="0.2">
      <c r="A5340" s="333">
        <v>39113060300</v>
      </c>
      <c r="B5340" t="s">
        <v>2224</v>
      </c>
      <c r="C5340" s="341" t="s">
        <v>4330</v>
      </c>
    </row>
    <row r="5341" spans="1:3" x14ac:dyDescent="0.2">
      <c r="A5341" s="333">
        <v>39113070101</v>
      </c>
      <c r="B5341" t="s">
        <v>2225</v>
      </c>
      <c r="C5341" s="341" t="s">
        <v>4330</v>
      </c>
    </row>
    <row r="5342" spans="1:3" x14ac:dyDescent="0.2">
      <c r="A5342" s="333">
        <v>39113070102</v>
      </c>
      <c r="B5342" t="s">
        <v>2226</v>
      </c>
      <c r="C5342" s="341" t="s">
        <v>4330</v>
      </c>
    </row>
    <row r="5343" spans="1:3" x14ac:dyDescent="0.2">
      <c r="A5343" s="333">
        <v>39113070201</v>
      </c>
      <c r="B5343" t="s">
        <v>2227</v>
      </c>
      <c r="C5343" s="341" t="s">
        <v>4330</v>
      </c>
    </row>
    <row r="5344" spans="1:3" x14ac:dyDescent="0.2">
      <c r="A5344" s="333">
        <v>39113070202</v>
      </c>
      <c r="B5344" t="s">
        <v>2228</v>
      </c>
      <c r="C5344" s="341" t="s">
        <v>4330</v>
      </c>
    </row>
    <row r="5345" spans="1:3" x14ac:dyDescent="0.2">
      <c r="A5345" s="333">
        <v>39113070300</v>
      </c>
      <c r="B5345" t="s">
        <v>2229</v>
      </c>
      <c r="C5345" s="341" t="s">
        <v>4330</v>
      </c>
    </row>
    <row r="5346" spans="1:3" x14ac:dyDescent="0.2">
      <c r="A5346" s="333">
        <v>39113070400</v>
      </c>
      <c r="B5346" t="s">
        <v>2230</v>
      </c>
      <c r="C5346" s="341" t="s">
        <v>4330</v>
      </c>
    </row>
    <row r="5347" spans="1:3" x14ac:dyDescent="0.2">
      <c r="A5347" s="333">
        <v>39113070500</v>
      </c>
      <c r="B5347" t="s">
        <v>2231</v>
      </c>
      <c r="C5347" s="341" t="s">
        <v>5334</v>
      </c>
    </row>
    <row r="5348" spans="1:3" x14ac:dyDescent="0.2">
      <c r="A5348" s="333">
        <v>39113070600</v>
      </c>
      <c r="B5348" t="s">
        <v>2232</v>
      </c>
      <c r="C5348" s="341" t="s">
        <v>5334</v>
      </c>
    </row>
    <row r="5349" spans="1:3" x14ac:dyDescent="0.2">
      <c r="A5349" s="333">
        <v>39113070700</v>
      </c>
      <c r="B5349" t="s">
        <v>2233</v>
      </c>
      <c r="C5349" s="341" t="s">
        <v>5334</v>
      </c>
    </row>
    <row r="5350" spans="1:3" x14ac:dyDescent="0.2">
      <c r="A5350" s="333">
        <v>39113080100</v>
      </c>
      <c r="B5350" t="s">
        <v>2234</v>
      </c>
      <c r="C5350" s="341" t="s">
        <v>5334</v>
      </c>
    </row>
    <row r="5351" spans="1:3" x14ac:dyDescent="0.2">
      <c r="A5351" s="333">
        <v>39113080200</v>
      </c>
      <c r="B5351" t="s">
        <v>2235</v>
      </c>
      <c r="C5351" s="341" t="s">
        <v>5334</v>
      </c>
    </row>
    <row r="5352" spans="1:3" x14ac:dyDescent="0.2">
      <c r="A5352" s="333">
        <v>39113080300</v>
      </c>
      <c r="B5352" t="s">
        <v>2236</v>
      </c>
      <c r="C5352" s="341" t="s">
        <v>5334</v>
      </c>
    </row>
    <row r="5353" spans="1:3" x14ac:dyDescent="0.2">
      <c r="A5353" s="333">
        <v>39113080400</v>
      </c>
      <c r="B5353" t="s">
        <v>2237</v>
      </c>
      <c r="C5353" s="341" t="s">
        <v>4330</v>
      </c>
    </row>
    <row r="5354" spans="1:3" x14ac:dyDescent="0.2">
      <c r="A5354" s="333">
        <v>39113080500</v>
      </c>
      <c r="B5354" t="s">
        <v>2238</v>
      </c>
      <c r="C5354" s="341" t="s">
        <v>4330</v>
      </c>
    </row>
    <row r="5355" spans="1:3" x14ac:dyDescent="0.2">
      <c r="A5355" s="333">
        <v>39113080600</v>
      </c>
      <c r="B5355" t="s">
        <v>2239</v>
      </c>
      <c r="C5355" s="341" t="s">
        <v>5334</v>
      </c>
    </row>
    <row r="5356" spans="1:3" x14ac:dyDescent="0.2">
      <c r="A5356" s="333">
        <v>39113080700</v>
      </c>
      <c r="B5356" t="s">
        <v>2240</v>
      </c>
      <c r="C5356" s="341" t="s">
        <v>4330</v>
      </c>
    </row>
    <row r="5357" spans="1:3" x14ac:dyDescent="0.2">
      <c r="A5357" s="333">
        <v>39113090302</v>
      </c>
      <c r="B5357" t="s">
        <v>2241</v>
      </c>
      <c r="C5357" s="341" t="s">
        <v>5334</v>
      </c>
    </row>
    <row r="5358" spans="1:3" x14ac:dyDescent="0.2">
      <c r="A5358" s="333">
        <v>39113090303</v>
      </c>
      <c r="B5358" t="s">
        <v>2242</v>
      </c>
      <c r="C5358" s="341" t="s">
        <v>5334</v>
      </c>
    </row>
    <row r="5359" spans="1:3" x14ac:dyDescent="0.2">
      <c r="A5359" s="333">
        <v>39113090304</v>
      </c>
      <c r="B5359" t="s">
        <v>2243</v>
      </c>
      <c r="C5359" s="341" t="s">
        <v>5334</v>
      </c>
    </row>
    <row r="5360" spans="1:3" x14ac:dyDescent="0.2">
      <c r="A5360" s="333">
        <v>39113090600</v>
      </c>
      <c r="B5360" t="s">
        <v>2244</v>
      </c>
      <c r="C5360" s="341" t="s">
        <v>4330</v>
      </c>
    </row>
    <row r="5361" spans="1:3" x14ac:dyDescent="0.2">
      <c r="A5361" s="333">
        <v>39113090700</v>
      </c>
      <c r="B5361" t="s">
        <v>2245</v>
      </c>
      <c r="C5361" s="341" t="s">
        <v>5334</v>
      </c>
    </row>
    <row r="5362" spans="1:3" x14ac:dyDescent="0.2">
      <c r="A5362" s="333">
        <v>39113090800</v>
      </c>
      <c r="B5362" t="s">
        <v>2246</v>
      </c>
      <c r="C5362" s="341" t="s">
        <v>5334</v>
      </c>
    </row>
    <row r="5363" spans="1:3" x14ac:dyDescent="0.2">
      <c r="A5363" s="333">
        <v>39113090900</v>
      </c>
      <c r="B5363" t="s">
        <v>2247</v>
      </c>
      <c r="C5363" s="341" t="s">
        <v>5334</v>
      </c>
    </row>
    <row r="5364" spans="1:3" x14ac:dyDescent="0.2">
      <c r="A5364" s="333">
        <v>39113091000</v>
      </c>
      <c r="B5364" t="s">
        <v>2248</v>
      </c>
      <c r="C5364" s="341" t="s">
        <v>5334</v>
      </c>
    </row>
    <row r="5365" spans="1:3" x14ac:dyDescent="0.2">
      <c r="A5365" s="333">
        <v>39113091100</v>
      </c>
      <c r="B5365" t="s">
        <v>2249</v>
      </c>
      <c r="C5365" s="341" t="s">
        <v>5334</v>
      </c>
    </row>
    <row r="5366" spans="1:3" x14ac:dyDescent="0.2">
      <c r="A5366" s="333">
        <v>39113100101</v>
      </c>
      <c r="B5366" t="s">
        <v>2250</v>
      </c>
      <c r="C5366" s="341" t="s">
        <v>5334</v>
      </c>
    </row>
    <row r="5367" spans="1:3" x14ac:dyDescent="0.2">
      <c r="A5367" s="333">
        <v>39113100102</v>
      </c>
      <c r="B5367" t="s">
        <v>2251</v>
      </c>
      <c r="C5367" s="341" t="s">
        <v>5334</v>
      </c>
    </row>
    <row r="5368" spans="1:3" x14ac:dyDescent="0.2">
      <c r="A5368" s="333">
        <v>39113100201</v>
      </c>
      <c r="B5368" t="s">
        <v>2252</v>
      </c>
      <c r="C5368" s="341" t="s">
        <v>5334</v>
      </c>
    </row>
    <row r="5369" spans="1:3" x14ac:dyDescent="0.2">
      <c r="A5369" s="333">
        <v>39113100202</v>
      </c>
      <c r="B5369" t="s">
        <v>2253</v>
      </c>
      <c r="C5369" s="341" t="s">
        <v>5334</v>
      </c>
    </row>
    <row r="5370" spans="1:3" x14ac:dyDescent="0.2">
      <c r="A5370" s="333">
        <v>39113100203</v>
      </c>
      <c r="B5370" t="s">
        <v>2254</v>
      </c>
      <c r="C5370" s="341" t="s">
        <v>5334</v>
      </c>
    </row>
    <row r="5371" spans="1:3" x14ac:dyDescent="0.2">
      <c r="A5371" s="333">
        <v>39113100301</v>
      </c>
      <c r="B5371" t="s">
        <v>2255</v>
      </c>
      <c r="C5371" s="341" t="s">
        <v>5334</v>
      </c>
    </row>
    <row r="5372" spans="1:3" x14ac:dyDescent="0.2">
      <c r="A5372" s="333">
        <v>39113100302</v>
      </c>
      <c r="B5372" t="s">
        <v>2256</v>
      </c>
      <c r="C5372" s="341" t="s">
        <v>5334</v>
      </c>
    </row>
    <row r="5373" spans="1:3" x14ac:dyDescent="0.2">
      <c r="A5373" s="333">
        <v>39113100400</v>
      </c>
      <c r="B5373" t="s">
        <v>2257</v>
      </c>
      <c r="C5373" s="341" t="s">
        <v>5334</v>
      </c>
    </row>
    <row r="5374" spans="1:3" x14ac:dyDescent="0.2">
      <c r="A5374" s="333">
        <v>39113110100</v>
      </c>
      <c r="B5374" t="s">
        <v>2258</v>
      </c>
      <c r="C5374" s="341" t="s">
        <v>5334</v>
      </c>
    </row>
    <row r="5375" spans="1:3" x14ac:dyDescent="0.2">
      <c r="A5375" s="333">
        <v>39113110201</v>
      </c>
      <c r="B5375" t="s">
        <v>2259</v>
      </c>
      <c r="C5375" s="341" t="s">
        <v>5334</v>
      </c>
    </row>
    <row r="5376" spans="1:3" x14ac:dyDescent="0.2">
      <c r="A5376" s="333">
        <v>39113110202</v>
      </c>
      <c r="B5376" t="s">
        <v>2260</v>
      </c>
      <c r="C5376" s="341" t="s">
        <v>5334</v>
      </c>
    </row>
    <row r="5377" spans="1:3" x14ac:dyDescent="0.2">
      <c r="A5377" s="333">
        <v>39113115002</v>
      </c>
      <c r="B5377" t="s">
        <v>2261</v>
      </c>
      <c r="C5377" s="341" t="s">
        <v>5334</v>
      </c>
    </row>
    <row r="5378" spans="1:3" x14ac:dyDescent="0.2">
      <c r="A5378" s="333">
        <v>39113115011</v>
      </c>
      <c r="B5378" t="s">
        <v>2262</v>
      </c>
      <c r="C5378" s="341" t="s">
        <v>5334</v>
      </c>
    </row>
    <row r="5379" spans="1:3" x14ac:dyDescent="0.2">
      <c r="A5379" s="333">
        <v>39113115012</v>
      </c>
      <c r="B5379" t="s">
        <v>2263</v>
      </c>
      <c r="C5379" s="341" t="s">
        <v>5334</v>
      </c>
    </row>
    <row r="5380" spans="1:3" x14ac:dyDescent="0.2">
      <c r="A5380" s="333">
        <v>39113120101</v>
      </c>
      <c r="B5380" t="s">
        <v>2264</v>
      </c>
      <c r="C5380" s="341" t="s">
        <v>5334</v>
      </c>
    </row>
    <row r="5381" spans="1:3" x14ac:dyDescent="0.2">
      <c r="A5381" s="333">
        <v>39113120102</v>
      </c>
      <c r="B5381" t="s">
        <v>2265</v>
      </c>
      <c r="C5381" s="341" t="s">
        <v>5334</v>
      </c>
    </row>
    <row r="5382" spans="1:3" x14ac:dyDescent="0.2">
      <c r="A5382" s="333">
        <v>39113120103</v>
      </c>
      <c r="B5382" t="s">
        <v>2266</v>
      </c>
      <c r="C5382" s="341" t="s">
        <v>5334</v>
      </c>
    </row>
    <row r="5383" spans="1:3" x14ac:dyDescent="0.2">
      <c r="A5383" s="333">
        <v>39113125000</v>
      </c>
      <c r="B5383" t="s">
        <v>2267</v>
      </c>
      <c r="C5383" s="341" t="s">
        <v>5334</v>
      </c>
    </row>
    <row r="5384" spans="1:3" x14ac:dyDescent="0.2">
      <c r="A5384" s="333">
        <v>39113125102</v>
      </c>
      <c r="B5384" t="s">
        <v>2269</v>
      </c>
      <c r="C5384" s="341" t="s">
        <v>5334</v>
      </c>
    </row>
    <row r="5385" spans="1:3" x14ac:dyDescent="0.2">
      <c r="A5385" s="333">
        <v>39113125103</v>
      </c>
      <c r="B5385" t="s">
        <v>5802</v>
      </c>
      <c r="C5385" s="341" t="s">
        <v>5334</v>
      </c>
    </row>
    <row r="5386" spans="1:3" x14ac:dyDescent="0.2">
      <c r="A5386" s="333">
        <v>39113125104</v>
      </c>
      <c r="B5386" t="s">
        <v>5803</v>
      </c>
      <c r="C5386" s="341" t="s">
        <v>5334</v>
      </c>
    </row>
    <row r="5387" spans="1:3" x14ac:dyDescent="0.2">
      <c r="A5387" s="333">
        <v>39113130101</v>
      </c>
      <c r="B5387" t="s">
        <v>2270</v>
      </c>
      <c r="C5387" s="341" t="s">
        <v>5334</v>
      </c>
    </row>
    <row r="5388" spans="1:3" x14ac:dyDescent="0.2">
      <c r="A5388" s="333">
        <v>39113130102</v>
      </c>
      <c r="B5388" t="s">
        <v>2271</v>
      </c>
      <c r="C5388" s="341" t="s">
        <v>5334</v>
      </c>
    </row>
    <row r="5389" spans="1:3" x14ac:dyDescent="0.2">
      <c r="A5389" s="333">
        <v>39113140100</v>
      </c>
      <c r="B5389" t="s">
        <v>2272</v>
      </c>
      <c r="C5389" s="341" t="s">
        <v>5334</v>
      </c>
    </row>
    <row r="5390" spans="1:3" x14ac:dyDescent="0.2">
      <c r="A5390" s="333">
        <v>39113150100</v>
      </c>
      <c r="B5390" t="s">
        <v>2273</v>
      </c>
      <c r="C5390" s="341" t="s">
        <v>5334</v>
      </c>
    </row>
    <row r="5391" spans="1:3" x14ac:dyDescent="0.2">
      <c r="A5391" s="333">
        <v>39113160100</v>
      </c>
      <c r="B5391" t="s">
        <v>2274</v>
      </c>
      <c r="C5391" s="341" t="s">
        <v>5334</v>
      </c>
    </row>
    <row r="5392" spans="1:3" x14ac:dyDescent="0.2">
      <c r="A5392" s="333">
        <v>39113165000</v>
      </c>
      <c r="B5392" t="s">
        <v>2275</v>
      </c>
      <c r="C5392" s="341" t="s">
        <v>5334</v>
      </c>
    </row>
    <row r="5393" spans="1:3" x14ac:dyDescent="0.2">
      <c r="A5393" s="333">
        <v>39113165100</v>
      </c>
      <c r="B5393" t="s">
        <v>2276</v>
      </c>
      <c r="C5393" s="341" t="s">
        <v>4330</v>
      </c>
    </row>
    <row r="5394" spans="1:3" x14ac:dyDescent="0.2">
      <c r="A5394" s="333">
        <v>39113165200</v>
      </c>
      <c r="B5394" t="s">
        <v>2277</v>
      </c>
      <c r="C5394" s="341" t="s">
        <v>4330</v>
      </c>
    </row>
    <row r="5395" spans="1:3" x14ac:dyDescent="0.2">
      <c r="A5395" s="333">
        <v>39113980000</v>
      </c>
      <c r="B5395" t="s">
        <v>2278</v>
      </c>
      <c r="C5395" s="341" t="s">
        <v>5334</v>
      </c>
    </row>
    <row r="5396" spans="1:3" x14ac:dyDescent="0.2">
      <c r="A5396" s="333">
        <v>39115968800</v>
      </c>
      <c r="B5396" t="s">
        <v>2279</v>
      </c>
      <c r="C5396" s="341" t="s">
        <v>5334</v>
      </c>
    </row>
    <row r="5397" spans="1:3" x14ac:dyDescent="0.2">
      <c r="A5397" s="333">
        <v>39115968900</v>
      </c>
      <c r="B5397" t="s">
        <v>2280</v>
      </c>
      <c r="C5397" s="341" t="s">
        <v>5334</v>
      </c>
    </row>
    <row r="5398" spans="1:3" x14ac:dyDescent="0.2">
      <c r="A5398" s="333">
        <v>39115969000</v>
      </c>
      <c r="B5398" t="s">
        <v>2281</v>
      </c>
      <c r="C5398" s="341" t="s">
        <v>5334</v>
      </c>
    </row>
    <row r="5399" spans="1:3" x14ac:dyDescent="0.2">
      <c r="A5399" s="333">
        <v>39115969100</v>
      </c>
      <c r="B5399" t="s">
        <v>2282</v>
      </c>
      <c r="C5399" s="341" t="s">
        <v>5334</v>
      </c>
    </row>
    <row r="5400" spans="1:3" x14ac:dyDescent="0.2">
      <c r="A5400" s="333">
        <v>39117965000</v>
      </c>
      <c r="B5400" t="s">
        <v>2283</v>
      </c>
      <c r="C5400" s="341" t="s">
        <v>5334</v>
      </c>
    </row>
    <row r="5401" spans="1:3" x14ac:dyDescent="0.2">
      <c r="A5401" s="333">
        <v>39117965100</v>
      </c>
      <c r="B5401" t="s">
        <v>2284</v>
      </c>
      <c r="C5401" s="341" t="s">
        <v>5334</v>
      </c>
    </row>
    <row r="5402" spans="1:3" x14ac:dyDescent="0.2">
      <c r="A5402" s="333">
        <v>39117965201</v>
      </c>
      <c r="B5402" t="s">
        <v>5804</v>
      </c>
      <c r="C5402" s="341" t="s">
        <v>5334</v>
      </c>
    </row>
    <row r="5403" spans="1:3" x14ac:dyDescent="0.2">
      <c r="A5403" s="333">
        <v>39117965202</v>
      </c>
      <c r="B5403" t="s">
        <v>5805</v>
      </c>
      <c r="C5403" s="341" t="s">
        <v>5334</v>
      </c>
    </row>
    <row r="5404" spans="1:3" x14ac:dyDescent="0.2">
      <c r="A5404" s="333">
        <v>39117965300</v>
      </c>
      <c r="B5404" t="s">
        <v>2286</v>
      </c>
      <c r="C5404" s="341" t="s">
        <v>5334</v>
      </c>
    </row>
    <row r="5405" spans="1:3" x14ac:dyDescent="0.2">
      <c r="A5405" s="333">
        <v>39117965401</v>
      </c>
      <c r="B5405" t="s">
        <v>5806</v>
      </c>
      <c r="C5405" s="341" t="s">
        <v>5334</v>
      </c>
    </row>
    <row r="5406" spans="1:3" x14ac:dyDescent="0.2">
      <c r="A5406" s="333">
        <v>39117965402</v>
      </c>
      <c r="B5406" t="s">
        <v>5807</v>
      </c>
      <c r="C5406" s="341" t="s">
        <v>5334</v>
      </c>
    </row>
    <row r="5407" spans="1:3" x14ac:dyDescent="0.2">
      <c r="A5407" s="333">
        <v>39117965501</v>
      </c>
      <c r="B5407" t="s">
        <v>5808</v>
      </c>
      <c r="C5407" s="341" t="s">
        <v>5334</v>
      </c>
    </row>
    <row r="5408" spans="1:3" x14ac:dyDescent="0.2">
      <c r="A5408" s="333">
        <v>39117965502</v>
      </c>
      <c r="B5408" t="s">
        <v>5809</v>
      </c>
      <c r="C5408" s="341" t="s">
        <v>5334</v>
      </c>
    </row>
    <row r="5409" spans="1:3" x14ac:dyDescent="0.2">
      <c r="A5409" s="333">
        <v>39119911000</v>
      </c>
      <c r="B5409" t="s">
        <v>2289</v>
      </c>
      <c r="C5409" s="341" t="s">
        <v>5334</v>
      </c>
    </row>
    <row r="5410" spans="1:3" x14ac:dyDescent="0.2">
      <c r="A5410" s="333">
        <v>39119911100</v>
      </c>
      <c r="B5410" t="s">
        <v>2290</v>
      </c>
      <c r="C5410" s="341" t="s">
        <v>5334</v>
      </c>
    </row>
    <row r="5411" spans="1:3" x14ac:dyDescent="0.2">
      <c r="A5411" s="333">
        <v>39119911201</v>
      </c>
      <c r="B5411" t="s">
        <v>5810</v>
      </c>
      <c r="C5411" s="341" t="s">
        <v>5334</v>
      </c>
    </row>
    <row r="5412" spans="1:3" x14ac:dyDescent="0.2">
      <c r="A5412" s="333">
        <v>39119911202</v>
      </c>
      <c r="B5412" t="s">
        <v>5811</v>
      </c>
      <c r="C5412" s="341" t="s">
        <v>5334</v>
      </c>
    </row>
    <row r="5413" spans="1:3" x14ac:dyDescent="0.2">
      <c r="A5413" s="333">
        <v>39119911300</v>
      </c>
      <c r="B5413" t="s">
        <v>2292</v>
      </c>
      <c r="C5413" s="341" t="s">
        <v>5334</v>
      </c>
    </row>
    <row r="5414" spans="1:3" x14ac:dyDescent="0.2">
      <c r="A5414" s="333">
        <v>39119911400</v>
      </c>
      <c r="B5414" t="s">
        <v>2293</v>
      </c>
      <c r="C5414" s="341" t="s">
        <v>4330</v>
      </c>
    </row>
    <row r="5415" spans="1:3" x14ac:dyDescent="0.2">
      <c r="A5415" s="333">
        <v>39119911500</v>
      </c>
      <c r="B5415" t="s">
        <v>2294</v>
      </c>
      <c r="C5415" s="341" t="s">
        <v>5334</v>
      </c>
    </row>
    <row r="5416" spans="1:3" x14ac:dyDescent="0.2">
      <c r="A5416" s="333">
        <v>39119911601</v>
      </c>
      <c r="B5416" t="s">
        <v>5812</v>
      </c>
      <c r="C5416" s="341" t="s">
        <v>5334</v>
      </c>
    </row>
    <row r="5417" spans="1:3" x14ac:dyDescent="0.2">
      <c r="A5417" s="333">
        <v>39119911602</v>
      </c>
      <c r="B5417" t="s">
        <v>5813</v>
      </c>
      <c r="C5417" s="341" t="s">
        <v>5334</v>
      </c>
    </row>
    <row r="5418" spans="1:3" x14ac:dyDescent="0.2">
      <c r="A5418" s="333">
        <v>39119911700</v>
      </c>
      <c r="B5418" t="s">
        <v>2296</v>
      </c>
      <c r="C5418" s="341" t="s">
        <v>5334</v>
      </c>
    </row>
    <row r="5419" spans="1:3" x14ac:dyDescent="0.2">
      <c r="A5419" s="333">
        <v>39119911800</v>
      </c>
      <c r="B5419" t="s">
        <v>2297</v>
      </c>
      <c r="C5419" s="341" t="s">
        <v>4330</v>
      </c>
    </row>
    <row r="5420" spans="1:3" x14ac:dyDescent="0.2">
      <c r="A5420" s="333">
        <v>39119911900</v>
      </c>
      <c r="B5420" t="s">
        <v>2298</v>
      </c>
      <c r="C5420" s="341" t="s">
        <v>4330</v>
      </c>
    </row>
    <row r="5421" spans="1:3" x14ac:dyDescent="0.2">
      <c r="A5421" s="333">
        <v>39119912000</v>
      </c>
      <c r="B5421" t="s">
        <v>2299</v>
      </c>
      <c r="C5421" s="341" t="s">
        <v>5334</v>
      </c>
    </row>
    <row r="5422" spans="1:3" x14ac:dyDescent="0.2">
      <c r="A5422" s="333">
        <v>39119912100</v>
      </c>
      <c r="B5422" t="s">
        <v>2300</v>
      </c>
      <c r="C5422" s="341" t="s">
        <v>4330</v>
      </c>
    </row>
    <row r="5423" spans="1:3" x14ac:dyDescent="0.2">
      <c r="A5423" s="333">
        <v>39119912200</v>
      </c>
      <c r="B5423" t="s">
        <v>2301</v>
      </c>
      <c r="C5423" s="341" t="s">
        <v>5334</v>
      </c>
    </row>
    <row r="5424" spans="1:3" x14ac:dyDescent="0.2">
      <c r="A5424" s="333">
        <v>39119912300</v>
      </c>
      <c r="B5424" t="s">
        <v>2302</v>
      </c>
      <c r="C5424" s="341" t="s">
        <v>5334</v>
      </c>
    </row>
    <row r="5425" spans="1:3" x14ac:dyDescent="0.2">
      <c r="A5425" s="333">
        <v>39119912400</v>
      </c>
      <c r="B5425" t="s">
        <v>2303</v>
      </c>
      <c r="C5425" s="341" t="s">
        <v>5334</v>
      </c>
    </row>
    <row r="5426" spans="1:3" x14ac:dyDescent="0.2">
      <c r="A5426" s="333">
        <v>39119912500</v>
      </c>
      <c r="B5426" t="s">
        <v>2304</v>
      </c>
      <c r="C5426" s="341" t="s">
        <v>5334</v>
      </c>
    </row>
    <row r="5427" spans="1:3" x14ac:dyDescent="0.2">
      <c r="A5427" s="333">
        <v>39119912600</v>
      </c>
      <c r="B5427" t="s">
        <v>2305</v>
      </c>
      <c r="C5427" s="341" t="s">
        <v>5334</v>
      </c>
    </row>
    <row r="5428" spans="1:3" x14ac:dyDescent="0.2">
      <c r="A5428" s="333">
        <v>39119912700</v>
      </c>
      <c r="B5428" t="s">
        <v>2306</v>
      </c>
      <c r="C5428" s="341" t="s">
        <v>5334</v>
      </c>
    </row>
    <row r="5429" spans="1:3" x14ac:dyDescent="0.2">
      <c r="A5429" s="333">
        <v>39119912800</v>
      </c>
      <c r="B5429" t="s">
        <v>2307</v>
      </c>
      <c r="C5429" s="341" t="s">
        <v>5334</v>
      </c>
    </row>
    <row r="5430" spans="1:3" x14ac:dyDescent="0.2">
      <c r="A5430" s="333">
        <v>39121968300</v>
      </c>
      <c r="B5430" t="s">
        <v>2308</v>
      </c>
      <c r="C5430" s="341" t="s">
        <v>5334</v>
      </c>
    </row>
    <row r="5431" spans="1:3" x14ac:dyDescent="0.2">
      <c r="A5431" s="333">
        <v>39121968401</v>
      </c>
      <c r="B5431" t="s">
        <v>5814</v>
      </c>
      <c r="C5431" s="341" t="s">
        <v>5334</v>
      </c>
    </row>
    <row r="5432" spans="1:3" x14ac:dyDescent="0.2">
      <c r="A5432" s="333">
        <v>39121968402</v>
      </c>
      <c r="B5432" t="s">
        <v>5815</v>
      </c>
      <c r="C5432" s="341" t="s">
        <v>5334</v>
      </c>
    </row>
    <row r="5433" spans="1:3" x14ac:dyDescent="0.2">
      <c r="A5433" s="333">
        <v>39121968500</v>
      </c>
      <c r="B5433" t="s">
        <v>2310</v>
      </c>
      <c r="C5433" s="341" t="s">
        <v>5334</v>
      </c>
    </row>
    <row r="5434" spans="1:3" x14ac:dyDescent="0.2">
      <c r="A5434" s="333">
        <v>39123050100</v>
      </c>
      <c r="B5434" t="s">
        <v>2311</v>
      </c>
      <c r="C5434" s="341" t="s">
        <v>5334</v>
      </c>
    </row>
    <row r="5435" spans="1:3" x14ac:dyDescent="0.2">
      <c r="A5435" s="333">
        <v>39123050201</v>
      </c>
      <c r="B5435" t="s">
        <v>2312</v>
      </c>
      <c r="C5435" s="341" t="s">
        <v>5334</v>
      </c>
    </row>
    <row r="5436" spans="1:3" x14ac:dyDescent="0.2">
      <c r="A5436" s="333">
        <v>39123050202</v>
      </c>
      <c r="B5436" t="s">
        <v>2313</v>
      </c>
      <c r="C5436" s="341" t="s">
        <v>5334</v>
      </c>
    </row>
    <row r="5437" spans="1:3" x14ac:dyDescent="0.2">
      <c r="A5437" s="333">
        <v>39123050301</v>
      </c>
      <c r="B5437" t="s">
        <v>2314</v>
      </c>
      <c r="C5437" s="341" t="s">
        <v>5334</v>
      </c>
    </row>
    <row r="5438" spans="1:3" x14ac:dyDescent="0.2">
      <c r="A5438" s="333">
        <v>39123050302</v>
      </c>
      <c r="B5438" t="s">
        <v>2315</v>
      </c>
      <c r="C5438" s="341" t="s">
        <v>5334</v>
      </c>
    </row>
    <row r="5439" spans="1:3" x14ac:dyDescent="0.2">
      <c r="A5439" s="333">
        <v>39123050500</v>
      </c>
      <c r="B5439" t="s">
        <v>2316</v>
      </c>
      <c r="C5439" s="341" t="s">
        <v>5334</v>
      </c>
    </row>
    <row r="5440" spans="1:3" x14ac:dyDescent="0.2">
      <c r="A5440" s="333">
        <v>39123050600</v>
      </c>
      <c r="B5440" t="s">
        <v>2317</v>
      </c>
      <c r="C5440" s="341" t="s">
        <v>5334</v>
      </c>
    </row>
    <row r="5441" spans="1:3" x14ac:dyDescent="0.2">
      <c r="A5441" s="333">
        <v>39123050700</v>
      </c>
      <c r="B5441" t="s">
        <v>2318</v>
      </c>
      <c r="C5441" s="341" t="s">
        <v>5334</v>
      </c>
    </row>
    <row r="5442" spans="1:3" x14ac:dyDescent="0.2">
      <c r="A5442" s="333">
        <v>39123050800</v>
      </c>
      <c r="B5442" t="s">
        <v>2319</v>
      </c>
      <c r="C5442" s="341" t="s">
        <v>5334</v>
      </c>
    </row>
    <row r="5443" spans="1:3" x14ac:dyDescent="0.2">
      <c r="A5443" s="333">
        <v>39123050900</v>
      </c>
      <c r="B5443" t="s">
        <v>2320</v>
      </c>
      <c r="C5443" s="341" t="s">
        <v>5334</v>
      </c>
    </row>
    <row r="5444" spans="1:3" x14ac:dyDescent="0.2">
      <c r="A5444" s="333">
        <v>39123051000</v>
      </c>
      <c r="B5444" t="s">
        <v>2321</v>
      </c>
      <c r="C5444" s="341" t="s">
        <v>5334</v>
      </c>
    </row>
    <row r="5445" spans="1:3" x14ac:dyDescent="0.2">
      <c r="A5445" s="333">
        <v>39123051100</v>
      </c>
      <c r="B5445" t="s">
        <v>2322</v>
      </c>
      <c r="C5445" s="341" t="s">
        <v>5334</v>
      </c>
    </row>
    <row r="5446" spans="1:3" x14ac:dyDescent="0.2">
      <c r="A5446" s="333">
        <v>39123051201</v>
      </c>
      <c r="B5446" t="s">
        <v>5816</v>
      </c>
      <c r="C5446" s="341" t="s">
        <v>5334</v>
      </c>
    </row>
    <row r="5447" spans="1:3" x14ac:dyDescent="0.2">
      <c r="A5447" s="333">
        <v>39123051202</v>
      </c>
      <c r="B5447" t="s">
        <v>5817</v>
      </c>
      <c r="C5447" s="341" t="s">
        <v>5334</v>
      </c>
    </row>
    <row r="5448" spans="1:3" x14ac:dyDescent="0.2">
      <c r="A5448" s="333">
        <v>39123051203</v>
      </c>
      <c r="B5448" t="s">
        <v>5818</v>
      </c>
      <c r="C5448" s="341" t="s">
        <v>5334</v>
      </c>
    </row>
    <row r="5449" spans="1:3" x14ac:dyDescent="0.2">
      <c r="A5449" s="333">
        <v>39125960100</v>
      </c>
      <c r="B5449" t="s">
        <v>2324</v>
      </c>
      <c r="C5449" s="341" t="s">
        <v>5334</v>
      </c>
    </row>
    <row r="5450" spans="1:3" x14ac:dyDescent="0.2">
      <c r="A5450" s="333">
        <v>39125960200</v>
      </c>
      <c r="B5450" t="s">
        <v>2325</v>
      </c>
      <c r="C5450" s="341" t="s">
        <v>5334</v>
      </c>
    </row>
    <row r="5451" spans="1:3" x14ac:dyDescent="0.2">
      <c r="A5451" s="333">
        <v>39125960300</v>
      </c>
      <c r="B5451" t="s">
        <v>2326</v>
      </c>
      <c r="C5451" s="341" t="s">
        <v>5334</v>
      </c>
    </row>
    <row r="5452" spans="1:3" x14ac:dyDescent="0.2">
      <c r="A5452" s="333">
        <v>39125960400</v>
      </c>
      <c r="B5452" t="s">
        <v>2327</v>
      </c>
      <c r="C5452" s="341" t="s">
        <v>5334</v>
      </c>
    </row>
    <row r="5453" spans="1:3" x14ac:dyDescent="0.2">
      <c r="A5453" s="333">
        <v>39125960500</v>
      </c>
      <c r="B5453" t="s">
        <v>2328</v>
      </c>
      <c r="C5453" s="341" t="s">
        <v>5334</v>
      </c>
    </row>
    <row r="5454" spans="1:3" x14ac:dyDescent="0.2">
      <c r="A5454" s="333">
        <v>39127965801</v>
      </c>
      <c r="B5454" t="s">
        <v>5819</v>
      </c>
      <c r="C5454" s="341" t="s">
        <v>5334</v>
      </c>
    </row>
    <row r="5455" spans="1:3" x14ac:dyDescent="0.2">
      <c r="A5455" s="333">
        <v>39127965802</v>
      </c>
      <c r="B5455" t="s">
        <v>5820</v>
      </c>
      <c r="C5455" s="341" t="s">
        <v>5334</v>
      </c>
    </row>
    <row r="5456" spans="1:3" x14ac:dyDescent="0.2">
      <c r="A5456" s="333">
        <v>39127965901</v>
      </c>
      <c r="B5456" t="s">
        <v>5821</v>
      </c>
      <c r="C5456" s="341" t="s">
        <v>5334</v>
      </c>
    </row>
    <row r="5457" spans="1:3" x14ac:dyDescent="0.2">
      <c r="A5457" s="333">
        <v>39127965902</v>
      </c>
      <c r="B5457" t="s">
        <v>5822</v>
      </c>
      <c r="C5457" s="341" t="s">
        <v>5334</v>
      </c>
    </row>
    <row r="5458" spans="1:3" x14ac:dyDescent="0.2">
      <c r="A5458" s="333">
        <v>39127966000</v>
      </c>
      <c r="B5458" t="s">
        <v>2331</v>
      </c>
      <c r="C5458" s="341" t="s">
        <v>4330</v>
      </c>
    </row>
    <row r="5459" spans="1:3" x14ac:dyDescent="0.2">
      <c r="A5459" s="333">
        <v>39127966100</v>
      </c>
      <c r="B5459" t="s">
        <v>2332</v>
      </c>
      <c r="C5459" s="341" t="s">
        <v>5334</v>
      </c>
    </row>
    <row r="5460" spans="1:3" x14ac:dyDescent="0.2">
      <c r="A5460" s="333">
        <v>39127966200</v>
      </c>
      <c r="B5460" t="s">
        <v>2333</v>
      </c>
      <c r="C5460" s="341" t="s">
        <v>4330</v>
      </c>
    </row>
    <row r="5461" spans="1:3" x14ac:dyDescent="0.2">
      <c r="A5461" s="333">
        <v>39127966301</v>
      </c>
      <c r="B5461" t="s">
        <v>5823</v>
      </c>
      <c r="C5461" s="341" t="s">
        <v>4330</v>
      </c>
    </row>
    <row r="5462" spans="1:3" x14ac:dyDescent="0.2">
      <c r="A5462" s="333">
        <v>39127966302</v>
      </c>
      <c r="B5462" t="s">
        <v>5824</v>
      </c>
      <c r="C5462" s="341" t="s">
        <v>4330</v>
      </c>
    </row>
    <row r="5463" spans="1:3" x14ac:dyDescent="0.2">
      <c r="A5463" s="333">
        <v>39129020100</v>
      </c>
      <c r="B5463" t="s">
        <v>2335</v>
      </c>
      <c r="C5463" s="341" t="s">
        <v>4330</v>
      </c>
    </row>
    <row r="5464" spans="1:3" x14ac:dyDescent="0.2">
      <c r="A5464" s="333">
        <v>39129020200</v>
      </c>
      <c r="B5464" t="s">
        <v>2336</v>
      </c>
      <c r="C5464" s="341" t="s">
        <v>4330</v>
      </c>
    </row>
    <row r="5465" spans="1:3" x14ac:dyDescent="0.2">
      <c r="A5465" s="333">
        <v>39129020310</v>
      </c>
      <c r="B5465" t="s">
        <v>2337</v>
      </c>
      <c r="C5465" s="341" t="s">
        <v>5334</v>
      </c>
    </row>
    <row r="5466" spans="1:3" x14ac:dyDescent="0.2">
      <c r="A5466" s="333">
        <v>39129020320</v>
      </c>
      <c r="B5466" t="s">
        <v>2338</v>
      </c>
      <c r="C5466" s="341" t="s">
        <v>5334</v>
      </c>
    </row>
    <row r="5467" spans="1:3" x14ac:dyDescent="0.2">
      <c r="A5467" s="333">
        <v>39129020400</v>
      </c>
      <c r="B5467" t="s">
        <v>2339</v>
      </c>
      <c r="C5467" s="341" t="s">
        <v>4330</v>
      </c>
    </row>
    <row r="5468" spans="1:3" x14ac:dyDescent="0.2">
      <c r="A5468" s="333">
        <v>39129021101</v>
      </c>
      <c r="B5468" t="s">
        <v>5825</v>
      </c>
      <c r="C5468" s="341" t="s">
        <v>5334</v>
      </c>
    </row>
    <row r="5469" spans="1:3" x14ac:dyDescent="0.2">
      <c r="A5469" s="333">
        <v>39129021102</v>
      </c>
      <c r="B5469" t="s">
        <v>5826</v>
      </c>
      <c r="C5469" s="341" t="s">
        <v>5334</v>
      </c>
    </row>
    <row r="5470" spans="1:3" x14ac:dyDescent="0.2">
      <c r="A5470" s="333">
        <v>39129021201</v>
      </c>
      <c r="B5470" t="s">
        <v>5827</v>
      </c>
      <c r="C5470" s="341" t="s">
        <v>5334</v>
      </c>
    </row>
    <row r="5471" spans="1:3" x14ac:dyDescent="0.2">
      <c r="A5471" s="333">
        <v>39129021202</v>
      </c>
      <c r="B5471" t="s">
        <v>5828</v>
      </c>
      <c r="C5471" s="341" t="s">
        <v>5334</v>
      </c>
    </row>
    <row r="5472" spans="1:3" x14ac:dyDescent="0.2">
      <c r="A5472" s="333">
        <v>39129021300</v>
      </c>
      <c r="B5472" t="s">
        <v>2342</v>
      </c>
      <c r="C5472" s="341" t="s">
        <v>5334</v>
      </c>
    </row>
    <row r="5473" spans="1:3" x14ac:dyDescent="0.2">
      <c r="A5473" s="333">
        <v>39129021401</v>
      </c>
      <c r="B5473" t="s">
        <v>2343</v>
      </c>
      <c r="C5473" s="341" t="s">
        <v>5334</v>
      </c>
    </row>
    <row r="5474" spans="1:3" x14ac:dyDescent="0.2">
      <c r="A5474" s="333">
        <v>39129021403</v>
      </c>
      <c r="B5474" t="s">
        <v>5829</v>
      </c>
      <c r="C5474" s="341" t="s">
        <v>5334</v>
      </c>
    </row>
    <row r="5475" spans="1:3" x14ac:dyDescent="0.2">
      <c r="A5475" s="333">
        <v>39129021404</v>
      </c>
      <c r="B5475" t="s">
        <v>5830</v>
      </c>
      <c r="C5475" s="341" t="s">
        <v>5334</v>
      </c>
    </row>
    <row r="5476" spans="1:3" x14ac:dyDescent="0.2">
      <c r="A5476" s="333">
        <v>39129021500</v>
      </c>
      <c r="B5476" t="s">
        <v>2345</v>
      </c>
      <c r="C5476" s="341" t="s">
        <v>5334</v>
      </c>
    </row>
    <row r="5477" spans="1:3" x14ac:dyDescent="0.2">
      <c r="A5477" s="333">
        <v>39129021600</v>
      </c>
      <c r="B5477" t="s">
        <v>2346</v>
      </c>
      <c r="C5477" s="341" t="s">
        <v>5334</v>
      </c>
    </row>
    <row r="5478" spans="1:3" x14ac:dyDescent="0.2">
      <c r="A5478" s="333">
        <v>39129021700</v>
      </c>
      <c r="B5478" t="s">
        <v>2347</v>
      </c>
      <c r="C5478" s="341" t="s">
        <v>5334</v>
      </c>
    </row>
    <row r="5479" spans="1:3" x14ac:dyDescent="0.2">
      <c r="A5479" s="333">
        <v>39131952200</v>
      </c>
      <c r="B5479" t="s">
        <v>2348</v>
      </c>
      <c r="C5479" s="341" t="s">
        <v>4330</v>
      </c>
    </row>
    <row r="5480" spans="1:3" x14ac:dyDescent="0.2">
      <c r="A5480" s="333">
        <v>39131952300</v>
      </c>
      <c r="B5480" t="s">
        <v>2349</v>
      </c>
      <c r="C5480" s="341" t="s">
        <v>5334</v>
      </c>
    </row>
    <row r="5481" spans="1:3" x14ac:dyDescent="0.2">
      <c r="A5481" s="333">
        <v>39131952400</v>
      </c>
      <c r="B5481" t="s">
        <v>2350</v>
      </c>
      <c r="C5481" s="341" t="s">
        <v>5334</v>
      </c>
    </row>
    <row r="5482" spans="1:3" x14ac:dyDescent="0.2">
      <c r="A5482" s="333">
        <v>39131952500</v>
      </c>
      <c r="B5482" t="s">
        <v>2351</v>
      </c>
      <c r="C5482" s="341" t="s">
        <v>5334</v>
      </c>
    </row>
    <row r="5483" spans="1:3" x14ac:dyDescent="0.2">
      <c r="A5483" s="333">
        <v>39131952601</v>
      </c>
      <c r="B5483" t="s">
        <v>5831</v>
      </c>
      <c r="C5483" s="341" t="s">
        <v>5334</v>
      </c>
    </row>
    <row r="5484" spans="1:3" x14ac:dyDescent="0.2">
      <c r="A5484" s="333">
        <v>39131952602</v>
      </c>
      <c r="B5484" t="s">
        <v>5832</v>
      </c>
      <c r="C5484" s="341" t="s">
        <v>5334</v>
      </c>
    </row>
    <row r="5485" spans="1:3" x14ac:dyDescent="0.2">
      <c r="A5485" s="333">
        <v>39131952700</v>
      </c>
      <c r="B5485" t="s">
        <v>2353</v>
      </c>
      <c r="C5485" s="341" t="s">
        <v>5334</v>
      </c>
    </row>
    <row r="5486" spans="1:3" x14ac:dyDescent="0.2">
      <c r="A5486" s="333">
        <v>39133600102</v>
      </c>
      <c r="B5486" t="s">
        <v>2354</v>
      </c>
      <c r="C5486" s="341" t="s">
        <v>5334</v>
      </c>
    </row>
    <row r="5487" spans="1:3" x14ac:dyDescent="0.2">
      <c r="A5487" s="333">
        <v>39133600103</v>
      </c>
      <c r="B5487" t="s">
        <v>2355</v>
      </c>
      <c r="C5487" s="341" t="s">
        <v>5334</v>
      </c>
    </row>
    <row r="5488" spans="1:3" x14ac:dyDescent="0.2">
      <c r="A5488" s="333">
        <v>39133600200</v>
      </c>
      <c r="B5488" t="s">
        <v>2356</v>
      </c>
      <c r="C5488" s="341" t="s">
        <v>5334</v>
      </c>
    </row>
    <row r="5489" spans="1:3" x14ac:dyDescent="0.2">
      <c r="A5489" s="333">
        <v>39133600302</v>
      </c>
      <c r="B5489" t="s">
        <v>2358</v>
      </c>
      <c r="C5489" s="341" t="s">
        <v>5334</v>
      </c>
    </row>
    <row r="5490" spans="1:3" x14ac:dyDescent="0.2">
      <c r="A5490" s="333">
        <v>39133600303</v>
      </c>
      <c r="B5490" t="s">
        <v>5833</v>
      </c>
      <c r="C5490" s="341" t="s">
        <v>5334</v>
      </c>
    </row>
    <row r="5491" spans="1:3" x14ac:dyDescent="0.2">
      <c r="A5491" s="333">
        <v>39133600304</v>
      </c>
      <c r="B5491" t="s">
        <v>5834</v>
      </c>
      <c r="C5491" s="341" t="s">
        <v>5334</v>
      </c>
    </row>
    <row r="5492" spans="1:3" x14ac:dyDescent="0.2">
      <c r="A5492" s="333">
        <v>39133600401</v>
      </c>
      <c r="B5492" t="s">
        <v>2359</v>
      </c>
      <c r="C5492" s="341" t="s">
        <v>5334</v>
      </c>
    </row>
    <row r="5493" spans="1:3" x14ac:dyDescent="0.2">
      <c r="A5493" s="333">
        <v>39133600402</v>
      </c>
      <c r="B5493" t="s">
        <v>2360</v>
      </c>
      <c r="C5493" s="341" t="s">
        <v>5334</v>
      </c>
    </row>
    <row r="5494" spans="1:3" x14ac:dyDescent="0.2">
      <c r="A5494" s="333">
        <v>39133600403</v>
      </c>
      <c r="B5494" t="s">
        <v>2361</v>
      </c>
      <c r="C5494" s="341" t="s">
        <v>5334</v>
      </c>
    </row>
    <row r="5495" spans="1:3" x14ac:dyDescent="0.2">
      <c r="A5495" s="333">
        <v>39133600500</v>
      </c>
      <c r="B5495" t="s">
        <v>2362</v>
      </c>
      <c r="C5495" s="341" t="s">
        <v>5334</v>
      </c>
    </row>
    <row r="5496" spans="1:3" x14ac:dyDescent="0.2">
      <c r="A5496" s="333">
        <v>39133600602</v>
      </c>
      <c r="B5496" t="s">
        <v>2363</v>
      </c>
      <c r="C5496" s="341" t="s">
        <v>5334</v>
      </c>
    </row>
    <row r="5497" spans="1:3" x14ac:dyDescent="0.2">
      <c r="A5497" s="333">
        <v>39133600603</v>
      </c>
      <c r="B5497" t="s">
        <v>2364</v>
      </c>
      <c r="C5497" s="341" t="s">
        <v>5334</v>
      </c>
    </row>
    <row r="5498" spans="1:3" x14ac:dyDescent="0.2">
      <c r="A5498" s="333">
        <v>39133600703</v>
      </c>
      <c r="B5498" t="s">
        <v>2365</v>
      </c>
      <c r="C5498" s="341" t="s">
        <v>5334</v>
      </c>
    </row>
    <row r="5499" spans="1:3" x14ac:dyDescent="0.2">
      <c r="A5499" s="333">
        <v>39133600704</v>
      </c>
      <c r="B5499" t="s">
        <v>2366</v>
      </c>
      <c r="C5499" s="341" t="s">
        <v>5334</v>
      </c>
    </row>
    <row r="5500" spans="1:3" x14ac:dyDescent="0.2">
      <c r="A5500" s="333">
        <v>39133600705</v>
      </c>
      <c r="B5500" t="s">
        <v>2367</v>
      </c>
      <c r="C5500" s="341" t="s">
        <v>5334</v>
      </c>
    </row>
    <row r="5501" spans="1:3" x14ac:dyDescent="0.2">
      <c r="A5501" s="333">
        <v>39133600706</v>
      </c>
      <c r="B5501" t="s">
        <v>2368</v>
      </c>
      <c r="C5501" s="341" t="s">
        <v>5334</v>
      </c>
    </row>
    <row r="5502" spans="1:3" x14ac:dyDescent="0.2">
      <c r="A5502" s="333">
        <v>39133600800</v>
      </c>
      <c r="B5502" t="s">
        <v>2369</v>
      </c>
      <c r="C5502" s="341" t="s">
        <v>5334</v>
      </c>
    </row>
    <row r="5503" spans="1:3" x14ac:dyDescent="0.2">
      <c r="A5503" s="333">
        <v>39133600901</v>
      </c>
      <c r="B5503" t="s">
        <v>2370</v>
      </c>
      <c r="C5503" s="341" t="s">
        <v>5334</v>
      </c>
    </row>
    <row r="5504" spans="1:3" x14ac:dyDescent="0.2">
      <c r="A5504" s="333">
        <v>39133600902</v>
      </c>
      <c r="B5504" t="s">
        <v>2371</v>
      </c>
      <c r="C5504" s="341" t="s">
        <v>5334</v>
      </c>
    </row>
    <row r="5505" spans="1:3" x14ac:dyDescent="0.2">
      <c r="A5505" s="333">
        <v>39133601000</v>
      </c>
      <c r="B5505" t="s">
        <v>2372</v>
      </c>
      <c r="C5505" s="341" t="s">
        <v>5334</v>
      </c>
    </row>
    <row r="5506" spans="1:3" x14ac:dyDescent="0.2">
      <c r="A5506" s="333">
        <v>39133601100</v>
      </c>
      <c r="B5506" t="s">
        <v>2373</v>
      </c>
      <c r="C5506" s="341" t="s">
        <v>5334</v>
      </c>
    </row>
    <row r="5507" spans="1:3" x14ac:dyDescent="0.2">
      <c r="A5507" s="333">
        <v>39133601200</v>
      </c>
      <c r="B5507" t="s">
        <v>2374</v>
      </c>
      <c r="C5507" s="341" t="s">
        <v>4330</v>
      </c>
    </row>
    <row r="5508" spans="1:3" x14ac:dyDescent="0.2">
      <c r="A5508" s="333">
        <v>39133601300</v>
      </c>
      <c r="B5508" t="s">
        <v>2375</v>
      </c>
      <c r="C5508" s="341" t="s">
        <v>5334</v>
      </c>
    </row>
    <row r="5509" spans="1:3" x14ac:dyDescent="0.2">
      <c r="A5509" s="333">
        <v>39133601400</v>
      </c>
      <c r="B5509" t="s">
        <v>2376</v>
      </c>
      <c r="C5509" s="341" t="s">
        <v>5334</v>
      </c>
    </row>
    <row r="5510" spans="1:3" x14ac:dyDescent="0.2">
      <c r="A5510" s="333">
        <v>39133601501</v>
      </c>
      <c r="B5510" t="s">
        <v>2377</v>
      </c>
      <c r="C5510" s="341" t="s">
        <v>4330</v>
      </c>
    </row>
    <row r="5511" spans="1:3" x14ac:dyDescent="0.2">
      <c r="A5511" s="333">
        <v>39133601502</v>
      </c>
      <c r="B5511" t="s">
        <v>2378</v>
      </c>
      <c r="C5511" s="341" t="s">
        <v>4330</v>
      </c>
    </row>
    <row r="5512" spans="1:3" x14ac:dyDescent="0.2">
      <c r="A5512" s="333">
        <v>39133601503</v>
      </c>
      <c r="B5512" t="s">
        <v>2379</v>
      </c>
      <c r="C5512" s="341" t="s">
        <v>4330</v>
      </c>
    </row>
    <row r="5513" spans="1:3" x14ac:dyDescent="0.2">
      <c r="A5513" s="333">
        <v>39133601600</v>
      </c>
      <c r="B5513" t="s">
        <v>2380</v>
      </c>
      <c r="C5513" s="341" t="s">
        <v>5334</v>
      </c>
    </row>
    <row r="5514" spans="1:3" x14ac:dyDescent="0.2">
      <c r="A5514" s="333">
        <v>39133601702</v>
      </c>
      <c r="B5514" t="s">
        <v>2382</v>
      </c>
      <c r="C5514" s="341" t="s">
        <v>5334</v>
      </c>
    </row>
    <row r="5515" spans="1:3" x14ac:dyDescent="0.2">
      <c r="A5515" s="333">
        <v>39133601703</v>
      </c>
      <c r="B5515" t="s">
        <v>5835</v>
      </c>
      <c r="C5515" s="341" t="s">
        <v>5334</v>
      </c>
    </row>
    <row r="5516" spans="1:3" x14ac:dyDescent="0.2">
      <c r="A5516" s="333">
        <v>39133601704</v>
      </c>
      <c r="B5516" t="s">
        <v>5836</v>
      </c>
      <c r="C5516" s="341" t="s">
        <v>5334</v>
      </c>
    </row>
    <row r="5517" spans="1:3" x14ac:dyDescent="0.2">
      <c r="A5517" s="333">
        <v>39133601801</v>
      </c>
      <c r="B5517" t="s">
        <v>2383</v>
      </c>
      <c r="C5517" s="341" t="s">
        <v>5334</v>
      </c>
    </row>
    <row r="5518" spans="1:3" x14ac:dyDescent="0.2">
      <c r="A5518" s="333">
        <v>39133601802</v>
      </c>
      <c r="B5518" t="s">
        <v>2384</v>
      </c>
      <c r="C5518" s="341" t="s">
        <v>5334</v>
      </c>
    </row>
    <row r="5519" spans="1:3" x14ac:dyDescent="0.2">
      <c r="A5519" s="333">
        <v>39133601901</v>
      </c>
      <c r="B5519" t="s">
        <v>2385</v>
      </c>
      <c r="C5519" s="341" t="s">
        <v>5334</v>
      </c>
    </row>
    <row r="5520" spans="1:3" x14ac:dyDescent="0.2">
      <c r="A5520" s="333">
        <v>39133601902</v>
      </c>
      <c r="B5520" t="s">
        <v>2386</v>
      </c>
      <c r="C5520" s="341" t="s">
        <v>5334</v>
      </c>
    </row>
    <row r="5521" spans="1:3" x14ac:dyDescent="0.2">
      <c r="A5521" s="333">
        <v>39133602000</v>
      </c>
      <c r="B5521" t="s">
        <v>2387</v>
      </c>
      <c r="C5521" s="341" t="s">
        <v>5334</v>
      </c>
    </row>
    <row r="5522" spans="1:3" x14ac:dyDescent="0.2">
      <c r="A5522" s="333">
        <v>39133602101</v>
      </c>
      <c r="B5522" t="s">
        <v>5837</v>
      </c>
      <c r="C5522" s="341" t="s">
        <v>5334</v>
      </c>
    </row>
    <row r="5523" spans="1:3" x14ac:dyDescent="0.2">
      <c r="A5523" s="333">
        <v>39133602102</v>
      </c>
      <c r="B5523" t="s">
        <v>5838</v>
      </c>
      <c r="C5523" s="341" t="s">
        <v>5334</v>
      </c>
    </row>
    <row r="5524" spans="1:3" x14ac:dyDescent="0.2">
      <c r="A5524" s="333">
        <v>39135400100</v>
      </c>
      <c r="B5524" t="s">
        <v>2389</v>
      </c>
      <c r="C5524" s="341" t="s">
        <v>5334</v>
      </c>
    </row>
    <row r="5525" spans="1:3" x14ac:dyDescent="0.2">
      <c r="A5525" s="333">
        <v>39135410100</v>
      </c>
      <c r="B5525" t="s">
        <v>2390</v>
      </c>
      <c r="C5525" s="341" t="s">
        <v>5334</v>
      </c>
    </row>
    <row r="5526" spans="1:3" x14ac:dyDescent="0.2">
      <c r="A5526" s="333">
        <v>39135420100</v>
      </c>
      <c r="B5526" t="s">
        <v>2391</v>
      </c>
      <c r="C5526" s="341" t="s">
        <v>5334</v>
      </c>
    </row>
    <row r="5527" spans="1:3" x14ac:dyDescent="0.2">
      <c r="A5527" s="333">
        <v>39135430100</v>
      </c>
      <c r="B5527" t="s">
        <v>2392</v>
      </c>
      <c r="C5527" s="341" t="s">
        <v>5334</v>
      </c>
    </row>
    <row r="5528" spans="1:3" x14ac:dyDescent="0.2">
      <c r="A5528" s="333">
        <v>39135440100</v>
      </c>
      <c r="B5528" t="s">
        <v>2393</v>
      </c>
      <c r="C5528" s="341" t="s">
        <v>5334</v>
      </c>
    </row>
    <row r="5529" spans="1:3" x14ac:dyDescent="0.2">
      <c r="A5529" s="333">
        <v>39135450100</v>
      </c>
      <c r="B5529" t="s">
        <v>2394</v>
      </c>
      <c r="C5529" s="341" t="s">
        <v>5334</v>
      </c>
    </row>
    <row r="5530" spans="1:3" x14ac:dyDescent="0.2">
      <c r="A5530" s="333">
        <v>39135455001</v>
      </c>
      <c r="B5530" t="s">
        <v>2395</v>
      </c>
      <c r="C5530" s="341" t="s">
        <v>5334</v>
      </c>
    </row>
    <row r="5531" spans="1:3" x14ac:dyDescent="0.2">
      <c r="A5531" s="333">
        <v>39135455002</v>
      </c>
      <c r="B5531" t="s">
        <v>2396</v>
      </c>
      <c r="C5531" s="341" t="s">
        <v>5334</v>
      </c>
    </row>
    <row r="5532" spans="1:3" x14ac:dyDescent="0.2">
      <c r="A5532" s="333">
        <v>39135460100</v>
      </c>
      <c r="B5532" t="s">
        <v>2397</v>
      </c>
      <c r="C5532" s="341" t="s">
        <v>5334</v>
      </c>
    </row>
    <row r="5533" spans="1:3" x14ac:dyDescent="0.2">
      <c r="A5533" s="333">
        <v>39135470101</v>
      </c>
      <c r="B5533" t="s">
        <v>2398</v>
      </c>
      <c r="C5533" s="341" t="s">
        <v>5334</v>
      </c>
    </row>
    <row r="5534" spans="1:3" x14ac:dyDescent="0.2">
      <c r="A5534" s="333">
        <v>39135470102</v>
      </c>
      <c r="B5534" t="s">
        <v>2399</v>
      </c>
      <c r="C5534" s="341" t="s">
        <v>5334</v>
      </c>
    </row>
    <row r="5535" spans="1:3" x14ac:dyDescent="0.2">
      <c r="A5535" s="333">
        <v>39135480100</v>
      </c>
      <c r="B5535" t="s">
        <v>2400</v>
      </c>
      <c r="C5535" s="341" t="s">
        <v>5334</v>
      </c>
    </row>
    <row r="5536" spans="1:3" x14ac:dyDescent="0.2">
      <c r="A5536" s="333">
        <v>39137030100</v>
      </c>
      <c r="B5536" t="s">
        <v>2401</v>
      </c>
      <c r="C5536" s="341" t="s">
        <v>5334</v>
      </c>
    </row>
    <row r="5537" spans="1:3" x14ac:dyDescent="0.2">
      <c r="A5537" s="333">
        <v>39137030200</v>
      </c>
      <c r="B5537" t="s">
        <v>2402</v>
      </c>
      <c r="C5537" s="341" t="s">
        <v>5334</v>
      </c>
    </row>
    <row r="5538" spans="1:3" x14ac:dyDescent="0.2">
      <c r="A5538" s="333">
        <v>39137030301</v>
      </c>
      <c r="B5538" t="s">
        <v>5839</v>
      </c>
      <c r="C5538" s="341" t="s">
        <v>5334</v>
      </c>
    </row>
    <row r="5539" spans="1:3" x14ac:dyDescent="0.2">
      <c r="A5539" s="333">
        <v>39137030302</v>
      </c>
      <c r="B5539" t="s">
        <v>5840</v>
      </c>
      <c r="C5539" s="341" t="s">
        <v>5334</v>
      </c>
    </row>
    <row r="5540" spans="1:3" x14ac:dyDescent="0.2">
      <c r="A5540" s="333">
        <v>39137030400</v>
      </c>
      <c r="B5540" t="s">
        <v>2404</v>
      </c>
      <c r="C5540" s="341" t="s">
        <v>5334</v>
      </c>
    </row>
    <row r="5541" spans="1:3" x14ac:dyDescent="0.2">
      <c r="A5541" s="333">
        <v>39137030500</v>
      </c>
      <c r="B5541" t="s">
        <v>2405</v>
      </c>
      <c r="C5541" s="341" t="s">
        <v>5334</v>
      </c>
    </row>
    <row r="5542" spans="1:3" x14ac:dyDescent="0.2">
      <c r="A5542" s="333">
        <v>39137030600</v>
      </c>
      <c r="B5542" t="s">
        <v>2406</v>
      </c>
      <c r="C5542" s="341" t="s">
        <v>5334</v>
      </c>
    </row>
    <row r="5543" spans="1:3" x14ac:dyDescent="0.2">
      <c r="A5543" s="333">
        <v>39137030700</v>
      </c>
      <c r="B5543" t="s">
        <v>2407</v>
      </c>
      <c r="C5543" s="341" t="s">
        <v>5334</v>
      </c>
    </row>
    <row r="5544" spans="1:3" x14ac:dyDescent="0.2">
      <c r="A5544" s="333">
        <v>39139000400</v>
      </c>
      <c r="B5544" t="s">
        <v>2408</v>
      </c>
      <c r="C5544" s="341" t="s">
        <v>4330</v>
      </c>
    </row>
    <row r="5545" spans="1:3" x14ac:dyDescent="0.2">
      <c r="A5545" s="333">
        <v>39139000500</v>
      </c>
      <c r="B5545" t="s">
        <v>2409</v>
      </c>
      <c r="C5545" s="341" t="s">
        <v>4330</v>
      </c>
    </row>
    <row r="5546" spans="1:3" x14ac:dyDescent="0.2">
      <c r="A5546" s="333">
        <v>39139000600</v>
      </c>
      <c r="B5546" t="s">
        <v>2410</v>
      </c>
      <c r="C5546" s="341" t="s">
        <v>4330</v>
      </c>
    </row>
    <row r="5547" spans="1:3" x14ac:dyDescent="0.2">
      <c r="A5547" s="333">
        <v>39139000700</v>
      </c>
      <c r="B5547" t="s">
        <v>2411</v>
      </c>
      <c r="C5547" s="341" t="s">
        <v>4330</v>
      </c>
    </row>
    <row r="5548" spans="1:3" x14ac:dyDescent="0.2">
      <c r="A5548" s="333">
        <v>39139000800</v>
      </c>
      <c r="B5548" t="s">
        <v>2412</v>
      </c>
      <c r="C5548" s="341" t="s">
        <v>4330</v>
      </c>
    </row>
    <row r="5549" spans="1:3" x14ac:dyDescent="0.2">
      <c r="A5549" s="333">
        <v>39139000900</v>
      </c>
      <c r="B5549" t="s">
        <v>2413</v>
      </c>
      <c r="C5549" s="341" t="s">
        <v>5334</v>
      </c>
    </row>
    <row r="5550" spans="1:3" x14ac:dyDescent="0.2">
      <c r="A5550" s="333">
        <v>39139001000</v>
      </c>
      <c r="B5550" t="s">
        <v>2414</v>
      </c>
      <c r="C5550" s="341" t="s">
        <v>4330</v>
      </c>
    </row>
    <row r="5551" spans="1:3" x14ac:dyDescent="0.2">
      <c r="A5551" s="333">
        <v>39139001100</v>
      </c>
      <c r="B5551" t="s">
        <v>2415</v>
      </c>
      <c r="C5551" s="341" t="s">
        <v>5334</v>
      </c>
    </row>
    <row r="5552" spans="1:3" x14ac:dyDescent="0.2">
      <c r="A5552" s="333">
        <v>39139001200</v>
      </c>
      <c r="B5552" t="s">
        <v>2416</v>
      </c>
      <c r="C5552" s="341" t="s">
        <v>5334</v>
      </c>
    </row>
    <row r="5553" spans="1:3" x14ac:dyDescent="0.2">
      <c r="A5553" s="333">
        <v>39139001300</v>
      </c>
      <c r="B5553" t="s">
        <v>2417</v>
      </c>
      <c r="C5553" s="341" t="s">
        <v>5334</v>
      </c>
    </row>
    <row r="5554" spans="1:3" x14ac:dyDescent="0.2">
      <c r="A5554" s="333">
        <v>39139001400</v>
      </c>
      <c r="B5554" t="s">
        <v>2418</v>
      </c>
      <c r="C5554" s="341" t="s">
        <v>5334</v>
      </c>
    </row>
    <row r="5555" spans="1:3" x14ac:dyDescent="0.2">
      <c r="A5555" s="333">
        <v>39139001500</v>
      </c>
      <c r="B5555" t="s">
        <v>2419</v>
      </c>
      <c r="C5555" s="341" t="s">
        <v>5334</v>
      </c>
    </row>
    <row r="5556" spans="1:3" x14ac:dyDescent="0.2">
      <c r="A5556" s="333">
        <v>39139001600</v>
      </c>
      <c r="B5556" t="s">
        <v>2420</v>
      </c>
      <c r="C5556" s="341" t="s">
        <v>4330</v>
      </c>
    </row>
    <row r="5557" spans="1:3" x14ac:dyDescent="0.2">
      <c r="A5557" s="333">
        <v>39139001700</v>
      </c>
      <c r="B5557" t="s">
        <v>2421</v>
      </c>
      <c r="C5557" s="341" t="s">
        <v>5334</v>
      </c>
    </row>
    <row r="5558" spans="1:3" x14ac:dyDescent="0.2">
      <c r="A5558" s="333">
        <v>39139001800</v>
      </c>
      <c r="B5558" t="s">
        <v>2422</v>
      </c>
      <c r="C5558" s="341" t="s">
        <v>5334</v>
      </c>
    </row>
    <row r="5559" spans="1:3" x14ac:dyDescent="0.2">
      <c r="A5559" s="333">
        <v>39139001900</v>
      </c>
      <c r="B5559" t="s">
        <v>2423</v>
      </c>
      <c r="C5559" s="341" t="s">
        <v>5334</v>
      </c>
    </row>
    <row r="5560" spans="1:3" x14ac:dyDescent="0.2">
      <c r="A5560" s="333">
        <v>39139002000</v>
      </c>
      <c r="B5560" t="s">
        <v>2424</v>
      </c>
      <c r="C5560" s="341" t="s">
        <v>5334</v>
      </c>
    </row>
    <row r="5561" spans="1:3" x14ac:dyDescent="0.2">
      <c r="A5561" s="333">
        <v>39139002101</v>
      </c>
      <c r="B5561" t="s">
        <v>2425</v>
      </c>
      <c r="C5561" s="341" t="s">
        <v>5334</v>
      </c>
    </row>
    <row r="5562" spans="1:3" x14ac:dyDescent="0.2">
      <c r="A5562" s="333">
        <v>39139002102</v>
      </c>
      <c r="B5562" t="s">
        <v>2426</v>
      </c>
      <c r="C5562" s="341" t="s">
        <v>5334</v>
      </c>
    </row>
    <row r="5563" spans="1:3" x14ac:dyDescent="0.2">
      <c r="A5563" s="333">
        <v>39139002200</v>
      </c>
      <c r="B5563" t="s">
        <v>2427</v>
      </c>
      <c r="C5563" s="341" t="s">
        <v>5334</v>
      </c>
    </row>
    <row r="5564" spans="1:3" x14ac:dyDescent="0.2">
      <c r="A5564" s="333">
        <v>39139002300</v>
      </c>
      <c r="B5564" t="s">
        <v>2428</v>
      </c>
      <c r="C5564" s="341" t="s">
        <v>5334</v>
      </c>
    </row>
    <row r="5565" spans="1:3" x14ac:dyDescent="0.2">
      <c r="A5565" s="333">
        <v>39139002400</v>
      </c>
      <c r="B5565" t="s">
        <v>2429</v>
      </c>
      <c r="C5565" s="341" t="s">
        <v>5334</v>
      </c>
    </row>
    <row r="5566" spans="1:3" x14ac:dyDescent="0.2">
      <c r="A5566" s="333">
        <v>39139002500</v>
      </c>
      <c r="B5566" t="s">
        <v>2430</v>
      </c>
      <c r="C5566" s="341" t="s">
        <v>5334</v>
      </c>
    </row>
    <row r="5567" spans="1:3" x14ac:dyDescent="0.2">
      <c r="A5567" s="333">
        <v>39139002600</v>
      </c>
      <c r="B5567" t="s">
        <v>2431</v>
      </c>
      <c r="C5567" s="341" t="s">
        <v>5334</v>
      </c>
    </row>
    <row r="5568" spans="1:3" x14ac:dyDescent="0.2">
      <c r="A5568" s="333">
        <v>39139002700</v>
      </c>
      <c r="B5568" t="s">
        <v>2432</v>
      </c>
      <c r="C5568" s="341" t="s">
        <v>5334</v>
      </c>
    </row>
    <row r="5569" spans="1:3" x14ac:dyDescent="0.2">
      <c r="A5569" s="333">
        <v>39139002800</v>
      </c>
      <c r="B5569" t="s">
        <v>2433</v>
      </c>
      <c r="C5569" s="341" t="s">
        <v>5334</v>
      </c>
    </row>
    <row r="5570" spans="1:3" x14ac:dyDescent="0.2">
      <c r="A5570" s="333">
        <v>39139002900</v>
      </c>
      <c r="B5570" t="s">
        <v>2434</v>
      </c>
      <c r="C5570" s="341" t="s">
        <v>5334</v>
      </c>
    </row>
    <row r="5571" spans="1:3" x14ac:dyDescent="0.2">
      <c r="A5571" s="333">
        <v>39139003001</v>
      </c>
      <c r="B5571" t="s">
        <v>2435</v>
      </c>
      <c r="C5571" s="341" t="s">
        <v>5334</v>
      </c>
    </row>
    <row r="5572" spans="1:3" x14ac:dyDescent="0.2">
      <c r="A5572" s="333">
        <v>39139003002</v>
      </c>
      <c r="B5572" t="s">
        <v>2436</v>
      </c>
      <c r="C5572" s="341" t="s">
        <v>5334</v>
      </c>
    </row>
    <row r="5573" spans="1:3" x14ac:dyDescent="0.2">
      <c r="A5573" s="333">
        <v>39139003100</v>
      </c>
      <c r="B5573" t="s">
        <v>2437</v>
      </c>
      <c r="C5573" s="341" t="s">
        <v>4330</v>
      </c>
    </row>
    <row r="5574" spans="1:3" x14ac:dyDescent="0.2">
      <c r="A5574" s="333">
        <v>39141955500</v>
      </c>
      <c r="B5574" t="s">
        <v>2438</v>
      </c>
      <c r="C5574" s="341" t="s">
        <v>5334</v>
      </c>
    </row>
    <row r="5575" spans="1:3" x14ac:dyDescent="0.2">
      <c r="A5575" s="333">
        <v>39141955603</v>
      </c>
      <c r="B5575" t="s">
        <v>2441</v>
      </c>
      <c r="C5575" s="341" t="s">
        <v>5334</v>
      </c>
    </row>
    <row r="5576" spans="1:3" x14ac:dyDescent="0.2">
      <c r="A5576" s="333">
        <v>39141955604</v>
      </c>
      <c r="B5576" t="s">
        <v>5841</v>
      </c>
      <c r="C5576" s="341" t="s">
        <v>5334</v>
      </c>
    </row>
    <row r="5577" spans="1:3" x14ac:dyDescent="0.2">
      <c r="A5577" s="333">
        <v>39141955700</v>
      </c>
      <c r="B5577" t="s">
        <v>2442</v>
      </c>
      <c r="C5577" s="341" t="s">
        <v>5334</v>
      </c>
    </row>
    <row r="5578" spans="1:3" x14ac:dyDescent="0.2">
      <c r="A5578" s="333">
        <v>39141955801</v>
      </c>
      <c r="B5578" t="s">
        <v>5842</v>
      </c>
      <c r="C5578" s="341" t="s">
        <v>5334</v>
      </c>
    </row>
    <row r="5579" spans="1:3" x14ac:dyDescent="0.2">
      <c r="A5579" s="333">
        <v>39141955802</v>
      </c>
      <c r="B5579" t="s">
        <v>5843</v>
      </c>
      <c r="C5579" s="341" t="s">
        <v>5334</v>
      </c>
    </row>
    <row r="5580" spans="1:3" x14ac:dyDescent="0.2">
      <c r="A5580" s="333">
        <v>39141955900</v>
      </c>
      <c r="B5580" t="s">
        <v>2444</v>
      </c>
      <c r="C5580" s="341" t="s">
        <v>5334</v>
      </c>
    </row>
    <row r="5581" spans="1:3" x14ac:dyDescent="0.2">
      <c r="A5581" s="333">
        <v>39141956000</v>
      </c>
      <c r="B5581" t="s">
        <v>2445</v>
      </c>
      <c r="C5581" s="341" t="s">
        <v>5334</v>
      </c>
    </row>
    <row r="5582" spans="1:3" x14ac:dyDescent="0.2">
      <c r="A5582" s="333">
        <v>39141956100</v>
      </c>
      <c r="B5582" t="s">
        <v>2446</v>
      </c>
      <c r="C5582" s="341" t="s">
        <v>5334</v>
      </c>
    </row>
    <row r="5583" spans="1:3" x14ac:dyDescent="0.2">
      <c r="A5583" s="333">
        <v>39141956200</v>
      </c>
      <c r="B5583" t="s">
        <v>2447</v>
      </c>
      <c r="C5583" s="341" t="s">
        <v>5334</v>
      </c>
    </row>
    <row r="5584" spans="1:3" x14ac:dyDescent="0.2">
      <c r="A5584" s="333">
        <v>39141956300</v>
      </c>
      <c r="B5584" t="s">
        <v>2448</v>
      </c>
      <c r="C5584" s="341" t="s">
        <v>5334</v>
      </c>
    </row>
    <row r="5585" spans="1:3" x14ac:dyDescent="0.2">
      <c r="A5585" s="333">
        <v>39141956400</v>
      </c>
      <c r="B5585" t="s">
        <v>2449</v>
      </c>
      <c r="C5585" s="341" t="s">
        <v>4330</v>
      </c>
    </row>
    <row r="5586" spans="1:3" x14ac:dyDescent="0.2">
      <c r="A5586" s="333">
        <v>39141956500</v>
      </c>
      <c r="B5586" t="s">
        <v>2450</v>
      </c>
      <c r="C5586" s="341" t="s">
        <v>4330</v>
      </c>
    </row>
    <row r="5587" spans="1:3" x14ac:dyDescent="0.2">
      <c r="A5587" s="333">
        <v>39141956600</v>
      </c>
      <c r="B5587" t="s">
        <v>2451</v>
      </c>
      <c r="C5587" s="341" t="s">
        <v>5334</v>
      </c>
    </row>
    <row r="5588" spans="1:3" x14ac:dyDescent="0.2">
      <c r="A5588" s="333">
        <v>39141956700</v>
      </c>
      <c r="B5588" t="s">
        <v>2452</v>
      </c>
      <c r="C5588" s="341" t="s">
        <v>5334</v>
      </c>
    </row>
    <row r="5589" spans="1:3" x14ac:dyDescent="0.2">
      <c r="A5589" s="333">
        <v>39141956800</v>
      </c>
      <c r="B5589" t="s">
        <v>2453</v>
      </c>
      <c r="C5589" s="341" t="s">
        <v>5334</v>
      </c>
    </row>
    <row r="5590" spans="1:3" x14ac:dyDescent="0.2">
      <c r="A5590" s="333">
        <v>39141956900</v>
      </c>
      <c r="B5590" t="s">
        <v>2454</v>
      </c>
      <c r="C5590" s="341" t="s">
        <v>4330</v>
      </c>
    </row>
    <row r="5591" spans="1:3" x14ac:dyDescent="0.2">
      <c r="A5591" s="333">
        <v>39143960800</v>
      </c>
      <c r="B5591" t="s">
        <v>2455</v>
      </c>
      <c r="C5591" s="341" t="s">
        <v>5334</v>
      </c>
    </row>
    <row r="5592" spans="1:3" x14ac:dyDescent="0.2">
      <c r="A5592" s="333">
        <v>39143960900</v>
      </c>
      <c r="B5592" t="s">
        <v>2456</v>
      </c>
      <c r="C5592" s="341" t="s">
        <v>5334</v>
      </c>
    </row>
    <row r="5593" spans="1:3" x14ac:dyDescent="0.2">
      <c r="A5593" s="333">
        <v>39143961000</v>
      </c>
      <c r="B5593" t="s">
        <v>2457</v>
      </c>
      <c r="C5593" s="341" t="s">
        <v>5334</v>
      </c>
    </row>
    <row r="5594" spans="1:3" x14ac:dyDescent="0.2">
      <c r="A5594" s="333">
        <v>39143961100</v>
      </c>
      <c r="B5594" t="s">
        <v>2458</v>
      </c>
      <c r="C5594" s="341" t="s">
        <v>5334</v>
      </c>
    </row>
    <row r="5595" spans="1:3" x14ac:dyDescent="0.2">
      <c r="A5595" s="333">
        <v>39143961200</v>
      </c>
      <c r="B5595" t="s">
        <v>2459</v>
      </c>
      <c r="C5595" s="341" t="s">
        <v>5334</v>
      </c>
    </row>
    <row r="5596" spans="1:3" x14ac:dyDescent="0.2">
      <c r="A5596" s="333">
        <v>39143961300</v>
      </c>
      <c r="B5596" t="s">
        <v>2460</v>
      </c>
      <c r="C5596" s="341" t="s">
        <v>5334</v>
      </c>
    </row>
    <row r="5597" spans="1:3" x14ac:dyDescent="0.2">
      <c r="A5597" s="333">
        <v>39143961400</v>
      </c>
      <c r="B5597" t="s">
        <v>2461</v>
      </c>
      <c r="C5597" s="341" t="s">
        <v>5334</v>
      </c>
    </row>
    <row r="5598" spans="1:3" x14ac:dyDescent="0.2">
      <c r="A5598" s="333">
        <v>39143961500</v>
      </c>
      <c r="B5598" t="s">
        <v>2462</v>
      </c>
      <c r="C5598" s="341" t="s">
        <v>5334</v>
      </c>
    </row>
    <row r="5599" spans="1:3" x14ac:dyDescent="0.2">
      <c r="A5599" s="333">
        <v>39143961600</v>
      </c>
      <c r="B5599" t="s">
        <v>2463</v>
      </c>
      <c r="C5599" s="341" t="s">
        <v>4330</v>
      </c>
    </row>
    <row r="5600" spans="1:3" x14ac:dyDescent="0.2">
      <c r="A5600" s="333">
        <v>39143961700</v>
      </c>
      <c r="B5600" t="s">
        <v>2464</v>
      </c>
      <c r="C5600" s="341" t="s">
        <v>5334</v>
      </c>
    </row>
    <row r="5601" spans="1:3" x14ac:dyDescent="0.2">
      <c r="A5601" s="333">
        <v>39143961800</v>
      </c>
      <c r="B5601" t="s">
        <v>2465</v>
      </c>
      <c r="C5601" s="341" t="s">
        <v>5334</v>
      </c>
    </row>
    <row r="5602" spans="1:3" x14ac:dyDescent="0.2">
      <c r="A5602" s="333">
        <v>39143961900</v>
      </c>
      <c r="B5602" t="s">
        <v>2466</v>
      </c>
      <c r="C5602" s="341" t="s">
        <v>5334</v>
      </c>
    </row>
    <row r="5603" spans="1:3" x14ac:dyDescent="0.2">
      <c r="A5603" s="333">
        <v>39143962000</v>
      </c>
      <c r="B5603" t="s">
        <v>2467</v>
      </c>
      <c r="C5603" s="341" t="s">
        <v>5334</v>
      </c>
    </row>
    <row r="5604" spans="1:3" x14ac:dyDescent="0.2">
      <c r="A5604" s="333">
        <v>39143962100</v>
      </c>
      <c r="B5604" t="s">
        <v>2468</v>
      </c>
      <c r="C5604" s="341" t="s">
        <v>5334</v>
      </c>
    </row>
    <row r="5605" spans="1:3" x14ac:dyDescent="0.2">
      <c r="A5605" s="333">
        <v>39143962200</v>
      </c>
      <c r="B5605" t="s">
        <v>2469</v>
      </c>
      <c r="C5605" s="341" t="s">
        <v>5334</v>
      </c>
    </row>
    <row r="5606" spans="1:3" x14ac:dyDescent="0.2">
      <c r="A5606" s="333">
        <v>39145002100</v>
      </c>
      <c r="B5606" t="s">
        <v>2470</v>
      </c>
      <c r="C5606" s="341" t="s">
        <v>5334</v>
      </c>
    </row>
    <row r="5607" spans="1:3" x14ac:dyDescent="0.2">
      <c r="A5607" s="333">
        <v>39145002200</v>
      </c>
      <c r="B5607" t="s">
        <v>2471</v>
      </c>
      <c r="C5607" s="341" t="s">
        <v>5334</v>
      </c>
    </row>
    <row r="5608" spans="1:3" x14ac:dyDescent="0.2">
      <c r="A5608" s="333">
        <v>39145002300</v>
      </c>
      <c r="B5608" t="s">
        <v>2472</v>
      </c>
      <c r="C5608" s="341" t="s">
        <v>5334</v>
      </c>
    </row>
    <row r="5609" spans="1:3" x14ac:dyDescent="0.2">
      <c r="A5609" s="333">
        <v>39145002400</v>
      </c>
      <c r="B5609" t="s">
        <v>2473</v>
      </c>
      <c r="C5609" s="341" t="s">
        <v>5334</v>
      </c>
    </row>
    <row r="5610" spans="1:3" x14ac:dyDescent="0.2">
      <c r="A5610" s="333">
        <v>39145002500</v>
      </c>
      <c r="B5610" t="s">
        <v>2474</v>
      </c>
      <c r="C5610" s="341" t="s">
        <v>5334</v>
      </c>
    </row>
    <row r="5611" spans="1:3" x14ac:dyDescent="0.2">
      <c r="A5611" s="333">
        <v>39145002600</v>
      </c>
      <c r="B5611" t="s">
        <v>2475</v>
      </c>
      <c r="C5611" s="341" t="s">
        <v>5334</v>
      </c>
    </row>
    <row r="5612" spans="1:3" x14ac:dyDescent="0.2">
      <c r="A5612" s="333">
        <v>39145002700</v>
      </c>
      <c r="B5612" t="s">
        <v>2476</v>
      </c>
      <c r="C5612" s="341" t="s">
        <v>5334</v>
      </c>
    </row>
    <row r="5613" spans="1:3" x14ac:dyDescent="0.2">
      <c r="A5613" s="333">
        <v>39145002800</v>
      </c>
      <c r="B5613" t="s">
        <v>2477</v>
      </c>
      <c r="C5613" s="341" t="s">
        <v>5334</v>
      </c>
    </row>
    <row r="5614" spans="1:3" x14ac:dyDescent="0.2">
      <c r="A5614" s="333">
        <v>39145002901</v>
      </c>
      <c r="B5614" t="s">
        <v>5844</v>
      </c>
      <c r="C5614" s="341" t="s">
        <v>5334</v>
      </c>
    </row>
    <row r="5615" spans="1:3" x14ac:dyDescent="0.2">
      <c r="A5615" s="333">
        <v>39145002902</v>
      </c>
      <c r="B5615" t="s">
        <v>5845</v>
      </c>
      <c r="C5615" s="341" t="s">
        <v>5334</v>
      </c>
    </row>
    <row r="5616" spans="1:3" x14ac:dyDescent="0.2">
      <c r="A5616" s="333">
        <v>39145003000</v>
      </c>
      <c r="B5616" t="s">
        <v>2479</v>
      </c>
      <c r="C5616" s="341" t="s">
        <v>4330</v>
      </c>
    </row>
    <row r="5617" spans="1:3" x14ac:dyDescent="0.2">
      <c r="A5617" s="333">
        <v>39145003100</v>
      </c>
      <c r="B5617" t="s">
        <v>2480</v>
      </c>
      <c r="C5617" s="341" t="s">
        <v>4330</v>
      </c>
    </row>
    <row r="5618" spans="1:3" x14ac:dyDescent="0.2">
      <c r="A5618" s="333">
        <v>39145003200</v>
      </c>
      <c r="B5618" t="s">
        <v>2481</v>
      </c>
      <c r="C5618" s="341" t="s">
        <v>4330</v>
      </c>
    </row>
    <row r="5619" spans="1:3" x14ac:dyDescent="0.2">
      <c r="A5619" s="333">
        <v>39145003300</v>
      </c>
      <c r="B5619" t="s">
        <v>2482</v>
      </c>
      <c r="C5619" s="341" t="s">
        <v>5334</v>
      </c>
    </row>
    <row r="5620" spans="1:3" x14ac:dyDescent="0.2">
      <c r="A5620" s="333">
        <v>39145003400</v>
      </c>
      <c r="B5620" t="s">
        <v>2483</v>
      </c>
      <c r="C5620" s="341" t="s">
        <v>4330</v>
      </c>
    </row>
    <row r="5621" spans="1:3" x14ac:dyDescent="0.2">
      <c r="A5621" s="333">
        <v>39145003500</v>
      </c>
      <c r="B5621" t="s">
        <v>2484</v>
      </c>
      <c r="C5621" s="341" t="s">
        <v>4330</v>
      </c>
    </row>
    <row r="5622" spans="1:3" x14ac:dyDescent="0.2">
      <c r="A5622" s="333">
        <v>39145003600</v>
      </c>
      <c r="B5622" t="s">
        <v>2485</v>
      </c>
      <c r="C5622" s="341" t="s">
        <v>4330</v>
      </c>
    </row>
    <row r="5623" spans="1:3" x14ac:dyDescent="0.2">
      <c r="A5623" s="333">
        <v>39145003700</v>
      </c>
      <c r="B5623" t="s">
        <v>2486</v>
      </c>
      <c r="C5623" s="341" t="s">
        <v>4330</v>
      </c>
    </row>
    <row r="5624" spans="1:3" x14ac:dyDescent="0.2">
      <c r="A5624" s="333">
        <v>39145003800</v>
      </c>
      <c r="B5624" t="s">
        <v>2487</v>
      </c>
      <c r="C5624" s="341" t="s">
        <v>5334</v>
      </c>
    </row>
    <row r="5625" spans="1:3" x14ac:dyDescent="0.2">
      <c r="A5625" s="333">
        <v>39145003900</v>
      </c>
      <c r="B5625" t="s">
        <v>2488</v>
      </c>
      <c r="C5625" s="341" t="s">
        <v>5334</v>
      </c>
    </row>
    <row r="5626" spans="1:3" x14ac:dyDescent="0.2">
      <c r="A5626" s="333">
        <v>39145004000</v>
      </c>
      <c r="B5626" t="s">
        <v>2489</v>
      </c>
      <c r="C5626" s="341" t="s">
        <v>5334</v>
      </c>
    </row>
    <row r="5627" spans="1:3" x14ac:dyDescent="0.2">
      <c r="A5627" s="333">
        <v>39147962500</v>
      </c>
      <c r="B5627" t="s">
        <v>2490</v>
      </c>
      <c r="C5627" s="341" t="s">
        <v>5334</v>
      </c>
    </row>
    <row r="5628" spans="1:3" x14ac:dyDescent="0.2">
      <c r="A5628" s="333">
        <v>39147962600</v>
      </c>
      <c r="B5628" t="s">
        <v>2491</v>
      </c>
      <c r="C5628" s="341" t="s">
        <v>5334</v>
      </c>
    </row>
    <row r="5629" spans="1:3" x14ac:dyDescent="0.2">
      <c r="A5629" s="333">
        <v>39147962700</v>
      </c>
      <c r="B5629" t="s">
        <v>2492</v>
      </c>
      <c r="C5629" s="341" t="s">
        <v>5334</v>
      </c>
    </row>
    <row r="5630" spans="1:3" x14ac:dyDescent="0.2">
      <c r="A5630" s="333">
        <v>39147962800</v>
      </c>
      <c r="B5630" t="s">
        <v>2493</v>
      </c>
      <c r="C5630" s="341" t="s">
        <v>4330</v>
      </c>
    </row>
    <row r="5631" spans="1:3" x14ac:dyDescent="0.2">
      <c r="A5631" s="333">
        <v>39147962900</v>
      </c>
      <c r="B5631" t="s">
        <v>2494</v>
      </c>
      <c r="C5631" s="341" t="s">
        <v>5334</v>
      </c>
    </row>
    <row r="5632" spans="1:3" x14ac:dyDescent="0.2">
      <c r="A5632" s="333">
        <v>39147963000</v>
      </c>
      <c r="B5632" t="s">
        <v>2495</v>
      </c>
      <c r="C5632" s="341" t="s">
        <v>4330</v>
      </c>
    </row>
    <row r="5633" spans="1:3" x14ac:dyDescent="0.2">
      <c r="A5633" s="333">
        <v>39147963100</v>
      </c>
      <c r="B5633" t="s">
        <v>2496</v>
      </c>
      <c r="C5633" s="341" t="s">
        <v>5334</v>
      </c>
    </row>
    <row r="5634" spans="1:3" x14ac:dyDescent="0.2">
      <c r="A5634" s="333">
        <v>39147963200</v>
      </c>
      <c r="B5634" t="s">
        <v>2497</v>
      </c>
      <c r="C5634" s="341" t="s">
        <v>5334</v>
      </c>
    </row>
    <row r="5635" spans="1:3" x14ac:dyDescent="0.2">
      <c r="A5635" s="333">
        <v>39147963300</v>
      </c>
      <c r="B5635" t="s">
        <v>2498</v>
      </c>
      <c r="C5635" s="341" t="s">
        <v>5334</v>
      </c>
    </row>
    <row r="5636" spans="1:3" x14ac:dyDescent="0.2">
      <c r="A5636" s="333">
        <v>39147963400</v>
      </c>
      <c r="B5636" t="s">
        <v>2499</v>
      </c>
      <c r="C5636" s="341" t="s">
        <v>5334</v>
      </c>
    </row>
    <row r="5637" spans="1:3" x14ac:dyDescent="0.2">
      <c r="A5637" s="333">
        <v>39147963500</v>
      </c>
      <c r="B5637" t="s">
        <v>2500</v>
      </c>
      <c r="C5637" s="341" t="s">
        <v>5334</v>
      </c>
    </row>
    <row r="5638" spans="1:3" x14ac:dyDescent="0.2">
      <c r="A5638" s="333">
        <v>39147963600</v>
      </c>
      <c r="B5638" t="s">
        <v>2501</v>
      </c>
      <c r="C5638" s="341" t="s">
        <v>5334</v>
      </c>
    </row>
    <row r="5639" spans="1:3" x14ac:dyDescent="0.2">
      <c r="A5639" s="333">
        <v>39147963700</v>
      </c>
      <c r="B5639" t="s">
        <v>2502</v>
      </c>
      <c r="C5639" s="341" t="s">
        <v>5334</v>
      </c>
    </row>
    <row r="5640" spans="1:3" x14ac:dyDescent="0.2">
      <c r="A5640" s="333">
        <v>39147963800</v>
      </c>
      <c r="B5640" t="s">
        <v>2503</v>
      </c>
      <c r="C5640" s="341" t="s">
        <v>5334</v>
      </c>
    </row>
    <row r="5641" spans="1:3" x14ac:dyDescent="0.2">
      <c r="A5641" s="333">
        <v>39149971400</v>
      </c>
      <c r="B5641" t="s">
        <v>2504</v>
      </c>
      <c r="C5641" s="341" t="s">
        <v>5334</v>
      </c>
    </row>
    <row r="5642" spans="1:3" x14ac:dyDescent="0.2">
      <c r="A5642" s="333">
        <v>39149971500</v>
      </c>
      <c r="B5642" t="s">
        <v>2505</v>
      </c>
      <c r="C5642" s="341" t="s">
        <v>5334</v>
      </c>
    </row>
    <row r="5643" spans="1:3" x14ac:dyDescent="0.2">
      <c r="A5643" s="333">
        <v>39149971600</v>
      </c>
      <c r="B5643" t="s">
        <v>2506</v>
      </c>
      <c r="C5643" s="341" t="s">
        <v>5334</v>
      </c>
    </row>
    <row r="5644" spans="1:3" x14ac:dyDescent="0.2">
      <c r="A5644" s="333">
        <v>39149971700</v>
      </c>
      <c r="B5644" t="s">
        <v>2507</v>
      </c>
      <c r="C5644" s="341" t="s">
        <v>5334</v>
      </c>
    </row>
    <row r="5645" spans="1:3" x14ac:dyDescent="0.2">
      <c r="A5645" s="333">
        <v>39149971800</v>
      </c>
      <c r="B5645" t="s">
        <v>2508</v>
      </c>
      <c r="C5645" s="341" t="s">
        <v>5334</v>
      </c>
    </row>
    <row r="5646" spans="1:3" x14ac:dyDescent="0.2">
      <c r="A5646" s="333">
        <v>39149971900</v>
      </c>
      <c r="B5646" t="s">
        <v>2509</v>
      </c>
      <c r="C5646" s="341" t="s">
        <v>5334</v>
      </c>
    </row>
    <row r="5647" spans="1:3" x14ac:dyDescent="0.2">
      <c r="A5647" s="333">
        <v>39149972000</v>
      </c>
      <c r="B5647" t="s">
        <v>2510</v>
      </c>
      <c r="C5647" s="341" t="s">
        <v>5334</v>
      </c>
    </row>
    <row r="5648" spans="1:3" x14ac:dyDescent="0.2">
      <c r="A5648" s="333">
        <v>39149972100</v>
      </c>
      <c r="B5648" t="s">
        <v>2511</v>
      </c>
      <c r="C5648" s="341" t="s">
        <v>5334</v>
      </c>
    </row>
    <row r="5649" spans="1:3" x14ac:dyDescent="0.2">
      <c r="A5649" s="333">
        <v>39149972200</v>
      </c>
      <c r="B5649" t="s">
        <v>2512</v>
      </c>
      <c r="C5649" s="341" t="s">
        <v>5334</v>
      </c>
    </row>
    <row r="5650" spans="1:3" x14ac:dyDescent="0.2">
      <c r="A5650" s="333">
        <v>39149972300</v>
      </c>
      <c r="B5650" t="s">
        <v>2513</v>
      </c>
      <c r="C5650" s="341" t="s">
        <v>5334</v>
      </c>
    </row>
    <row r="5651" spans="1:3" x14ac:dyDescent="0.2">
      <c r="A5651" s="333">
        <v>39151700100</v>
      </c>
      <c r="B5651" t="s">
        <v>2514</v>
      </c>
      <c r="C5651" s="341" t="s">
        <v>4330</v>
      </c>
    </row>
    <row r="5652" spans="1:3" x14ac:dyDescent="0.2">
      <c r="A5652" s="333">
        <v>39151700200</v>
      </c>
      <c r="B5652" t="s">
        <v>2515</v>
      </c>
      <c r="C5652" s="341" t="s">
        <v>4330</v>
      </c>
    </row>
    <row r="5653" spans="1:3" x14ac:dyDescent="0.2">
      <c r="A5653" s="333">
        <v>39151700300</v>
      </c>
      <c r="B5653" t="s">
        <v>2516</v>
      </c>
      <c r="C5653" s="341" t="s">
        <v>4330</v>
      </c>
    </row>
    <row r="5654" spans="1:3" x14ac:dyDescent="0.2">
      <c r="A5654" s="333">
        <v>39151700400</v>
      </c>
      <c r="B5654" t="s">
        <v>2517</v>
      </c>
      <c r="C5654" s="341" t="s">
        <v>5334</v>
      </c>
    </row>
    <row r="5655" spans="1:3" x14ac:dyDescent="0.2">
      <c r="A5655" s="333">
        <v>39151700500</v>
      </c>
      <c r="B5655" t="s">
        <v>2518</v>
      </c>
      <c r="C5655" s="341" t="s">
        <v>4330</v>
      </c>
    </row>
    <row r="5656" spans="1:3" x14ac:dyDescent="0.2">
      <c r="A5656" s="333">
        <v>39151700600</v>
      </c>
      <c r="B5656" t="s">
        <v>2519</v>
      </c>
      <c r="C5656" s="341" t="s">
        <v>5334</v>
      </c>
    </row>
    <row r="5657" spans="1:3" x14ac:dyDescent="0.2">
      <c r="A5657" s="333">
        <v>39151700701</v>
      </c>
      <c r="B5657" t="s">
        <v>5846</v>
      </c>
      <c r="C5657" s="341" t="s">
        <v>5334</v>
      </c>
    </row>
    <row r="5658" spans="1:3" x14ac:dyDescent="0.2">
      <c r="A5658" s="333">
        <v>39151700702</v>
      </c>
      <c r="B5658" t="s">
        <v>5847</v>
      </c>
      <c r="C5658" s="341" t="s">
        <v>5334</v>
      </c>
    </row>
    <row r="5659" spans="1:3" x14ac:dyDescent="0.2">
      <c r="A5659" s="333">
        <v>39151700800</v>
      </c>
      <c r="B5659" t="s">
        <v>2521</v>
      </c>
      <c r="C5659" s="341" t="s">
        <v>4330</v>
      </c>
    </row>
    <row r="5660" spans="1:3" x14ac:dyDescent="0.2">
      <c r="A5660" s="333">
        <v>39151701000</v>
      </c>
      <c r="B5660" t="s">
        <v>2522</v>
      </c>
      <c r="C5660" s="341" t="s">
        <v>4330</v>
      </c>
    </row>
    <row r="5661" spans="1:3" x14ac:dyDescent="0.2">
      <c r="A5661" s="333">
        <v>39151701100</v>
      </c>
      <c r="B5661" t="s">
        <v>2523</v>
      </c>
      <c r="C5661" s="341" t="s">
        <v>5334</v>
      </c>
    </row>
    <row r="5662" spans="1:3" x14ac:dyDescent="0.2">
      <c r="A5662" s="333">
        <v>39151701200</v>
      </c>
      <c r="B5662" t="s">
        <v>2524</v>
      </c>
      <c r="C5662" s="341" t="s">
        <v>5334</v>
      </c>
    </row>
    <row r="5663" spans="1:3" x14ac:dyDescent="0.2">
      <c r="A5663" s="333">
        <v>39151701300</v>
      </c>
      <c r="B5663" t="s">
        <v>2525</v>
      </c>
      <c r="C5663" s="341" t="s">
        <v>4330</v>
      </c>
    </row>
    <row r="5664" spans="1:3" x14ac:dyDescent="0.2">
      <c r="A5664" s="333">
        <v>39151701500</v>
      </c>
      <c r="B5664" t="s">
        <v>2526</v>
      </c>
      <c r="C5664" s="341" t="s">
        <v>4330</v>
      </c>
    </row>
    <row r="5665" spans="1:3" x14ac:dyDescent="0.2">
      <c r="A5665" s="333">
        <v>39151701700</v>
      </c>
      <c r="B5665" t="s">
        <v>2527</v>
      </c>
      <c r="C5665" s="341" t="s">
        <v>4330</v>
      </c>
    </row>
    <row r="5666" spans="1:3" x14ac:dyDescent="0.2">
      <c r="A5666" s="333">
        <v>39151701800</v>
      </c>
      <c r="B5666" t="s">
        <v>2528</v>
      </c>
      <c r="C5666" s="341" t="s">
        <v>4330</v>
      </c>
    </row>
    <row r="5667" spans="1:3" x14ac:dyDescent="0.2">
      <c r="A5667" s="333">
        <v>39151702100</v>
      </c>
      <c r="B5667" t="s">
        <v>2529</v>
      </c>
      <c r="C5667" s="341" t="s">
        <v>4330</v>
      </c>
    </row>
    <row r="5668" spans="1:3" x14ac:dyDescent="0.2">
      <c r="A5668" s="333">
        <v>39151702300</v>
      </c>
      <c r="B5668" t="s">
        <v>2530</v>
      </c>
      <c r="C5668" s="341" t="s">
        <v>4330</v>
      </c>
    </row>
    <row r="5669" spans="1:3" x14ac:dyDescent="0.2">
      <c r="A5669" s="333">
        <v>39151702500</v>
      </c>
      <c r="B5669" t="s">
        <v>2531</v>
      </c>
      <c r="C5669" s="341" t="s">
        <v>4330</v>
      </c>
    </row>
    <row r="5670" spans="1:3" x14ac:dyDescent="0.2">
      <c r="A5670" s="333">
        <v>39151710200</v>
      </c>
      <c r="B5670" t="s">
        <v>2532</v>
      </c>
      <c r="C5670" s="341" t="s">
        <v>4330</v>
      </c>
    </row>
    <row r="5671" spans="1:3" x14ac:dyDescent="0.2">
      <c r="A5671" s="333">
        <v>39151710300</v>
      </c>
      <c r="B5671" t="s">
        <v>2533</v>
      </c>
      <c r="C5671" s="341" t="s">
        <v>5334</v>
      </c>
    </row>
    <row r="5672" spans="1:3" x14ac:dyDescent="0.2">
      <c r="A5672" s="333">
        <v>39151710400</v>
      </c>
      <c r="B5672" t="s">
        <v>2534</v>
      </c>
      <c r="C5672" s="341" t="s">
        <v>4330</v>
      </c>
    </row>
    <row r="5673" spans="1:3" x14ac:dyDescent="0.2">
      <c r="A5673" s="333">
        <v>39151710500</v>
      </c>
      <c r="B5673" t="s">
        <v>2535</v>
      </c>
      <c r="C5673" s="341" t="s">
        <v>4330</v>
      </c>
    </row>
    <row r="5674" spans="1:3" x14ac:dyDescent="0.2">
      <c r="A5674" s="333">
        <v>39151710600</v>
      </c>
      <c r="B5674" t="s">
        <v>2536</v>
      </c>
      <c r="C5674" s="341" t="s">
        <v>5334</v>
      </c>
    </row>
    <row r="5675" spans="1:3" x14ac:dyDescent="0.2">
      <c r="A5675" s="333">
        <v>39151710700</v>
      </c>
      <c r="B5675" t="s">
        <v>2537</v>
      </c>
      <c r="C5675" s="341" t="s">
        <v>5334</v>
      </c>
    </row>
    <row r="5676" spans="1:3" x14ac:dyDescent="0.2">
      <c r="A5676" s="333">
        <v>39151710800</v>
      </c>
      <c r="B5676" t="s">
        <v>2538</v>
      </c>
      <c r="C5676" s="341" t="s">
        <v>5334</v>
      </c>
    </row>
    <row r="5677" spans="1:3" x14ac:dyDescent="0.2">
      <c r="A5677" s="333">
        <v>39151710900</v>
      </c>
      <c r="B5677" t="s">
        <v>2539</v>
      </c>
      <c r="C5677" s="341" t="s">
        <v>5334</v>
      </c>
    </row>
    <row r="5678" spans="1:3" x14ac:dyDescent="0.2">
      <c r="A5678" s="333">
        <v>39151711001</v>
      </c>
      <c r="B5678" t="s">
        <v>5848</v>
      </c>
      <c r="C5678" s="341" t="s">
        <v>5334</v>
      </c>
    </row>
    <row r="5679" spans="1:3" x14ac:dyDescent="0.2">
      <c r="A5679" s="333">
        <v>39151711002</v>
      </c>
      <c r="B5679" t="s">
        <v>5849</v>
      </c>
      <c r="C5679" s="341" t="s">
        <v>5334</v>
      </c>
    </row>
    <row r="5680" spans="1:3" x14ac:dyDescent="0.2">
      <c r="A5680" s="333">
        <v>39151711111</v>
      </c>
      <c r="B5680" t="s">
        <v>2541</v>
      </c>
      <c r="C5680" s="341" t="s">
        <v>5334</v>
      </c>
    </row>
    <row r="5681" spans="1:3" x14ac:dyDescent="0.2">
      <c r="A5681" s="333">
        <v>39151711112</v>
      </c>
      <c r="B5681" t="s">
        <v>2542</v>
      </c>
      <c r="C5681" s="341" t="s">
        <v>5334</v>
      </c>
    </row>
    <row r="5682" spans="1:3" x14ac:dyDescent="0.2">
      <c r="A5682" s="333">
        <v>39151711121</v>
      </c>
      <c r="B5682" t="s">
        <v>2543</v>
      </c>
      <c r="C5682" s="341" t="s">
        <v>5334</v>
      </c>
    </row>
    <row r="5683" spans="1:3" x14ac:dyDescent="0.2">
      <c r="A5683" s="333">
        <v>39151711122</v>
      </c>
      <c r="B5683" t="s">
        <v>2544</v>
      </c>
      <c r="C5683" s="341" t="s">
        <v>5334</v>
      </c>
    </row>
    <row r="5684" spans="1:3" x14ac:dyDescent="0.2">
      <c r="A5684" s="333">
        <v>39151711202</v>
      </c>
      <c r="B5684" t="s">
        <v>2545</v>
      </c>
      <c r="C5684" s="341" t="s">
        <v>5334</v>
      </c>
    </row>
    <row r="5685" spans="1:3" x14ac:dyDescent="0.2">
      <c r="A5685" s="333">
        <v>39151711211</v>
      </c>
      <c r="B5685" t="s">
        <v>2546</v>
      </c>
      <c r="C5685" s="341" t="s">
        <v>5334</v>
      </c>
    </row>
    <row r="5686" spans="1:3" x14ac:dyDescent="0.2">
      <c r="A5686" s="333">
        <v>39151711212</v>
      </c>
      <c r="B5686" t="s">
        <v>2547</v>
      </c>
      <c r="C5686" s="341" t="s">
        <v>5334</v>
      </c>
    </row>
    <row r="5687" spans="1:3" x14ac:dyDescent="0.2">
      <c r="A5687" s="333">
        <v>39151711312</v>
      </c>
      <c r="B5687" t="s">
        <v>2549</v>
      </c>
      <c r="C5687" s="341" t="s">
        <v>5334</v>
      </c>
    </row>
    <row r="5688" spans="1:3" x14ac:dyDescent="0.2">
      <c r="A5688" s="333">
        <v>39151711321</v>
      </c>
      <c r="B5688" t="s">
        <v>2550</v>
      </c>
      <c r="C5688" s="341" t="s">
        <v>5334</v>
      </c>
    </row>
    <row r="5689" spans="1:3" x14ac:dyDescent="0.2">
      <c r="A5689" s="333">
        <v>39151711322</v>
      </c>
      <c r="B5689" t="s">
        <v>2551</v>
      </c>
      <c r="C5689" s="341" t="s">
        <v>5334</v>
      </c>
    </row>
    <row r="5690" spans="1:3" x14ac:dyDescent="0.2">
      <c r="A5690" s="333">
        <v>39151711323</v>
      </c>
      <c r="B5690" t="s">
        <v>5850</v>
      </c>
      <c r="C5690" s="341" t="s">
        <v>5334</v>
      </c>
    </row>
    <row r="5691" spans="1:3" x14ac:dyDescent="0.2">
      <c r="A5691" s="333">
        <v>39151711324</v>
      </c>
      <c r="B5691" t="s">
        <v>5851</v>
      </c>
      <c r="C5691" s="341" t="s">
        <v>5334</v>
      </c>
    </row>
    <row r="5692" spans="1:3" x14ac:dyDescent="0.2">
      <c r="A5692" s="333">
        <v>39151711402</v>
      </c>
      <c r="B5692" t="s">
        <v>2552</v>
      </c>
      <c r="C5692" s="341" t="s">
        <v>5334</v>
      </c>
    </row>
    <row r="5693" spans="1:3" x14ac:dyDescent="0.2">
      <c r="A5693" s="333">
        <v>39151711411</v>
      </c>
      <c r="B5693" t="s">
        <v>2553</v>
      </c>
      <c r="C5693" s="341" t="s">
        <v>5334</v>
      </c>
    </row>
    <row r="5694" spans="1:3" x14ac:dyDescent="0.2">
      <c r="A5694" s="333">
        <v>39151711412</v>
      </c>
      <c r="B5694" t="s">
        <v>2554</v>
      </c>
      <c r="C5694" s="341" t="s">
        <v>5334</v>
      </c>
    </row>
    <row r="5695" spans="1:3" x14ac:dyDescent="0.2">
      <c r="A5695" s="333">
        <v>39151711501</v>
      </c>
      <c r="B5695" t="s">
        <v>2555</v>
      </c>
      <c r="C5695" s="341" t="s">
        <v>5334</v>
      </c>
    </row>
    <row r="5696" spans="1:3" x14ac:dyDescent="0.2">
      <c r="A5696" s="333">
        <v>39151711502</v>
      </c>
      <c r="B5696" t="s">
        <v>2556</v>
      </c>
      <c r="C5696" s="341" t="s">
        <v>5334</v>
      </c>
    </row>
    <row r="5697" spans="1:3" x14ac:dyDescent="0.2">
      <c r="A5697" s="333">
        <v>39151711600</v>
      </c>
      <c r="B5697" t="s">
        <v>2557</v>
      </c>
      <c r="C5697" s="341" t="s">
        <v>5334</v>
      </c>
    </row>
    <row r="5698" spans="1:3" x14ac:dyDescent="0.2">
      <c r="A5698" s="333">
        <v>39151711700</v>
      </c>
      <c r="B5698" t="s">
        <v>2558</v>
      </c>
      <c r="C5698" s="341" t="s">
        <v>5334</v>
      </c>
    </row>
    <row r="5699" spans="1:3" x14ac:dyDescent="0.2">
      <c r="A5699" s="333">
        <v>39151711800</v>
      </c>
      <c r="B5699" t="s">
        <v>2559</v>
      </c>
      <c r="C5699" s="341" t="s">
        <v>5334</v>
      </c>
    </row>
    <row r="5700" spans="1:3" x14ac:dyDescent="0.2">
      <c r="A5700" s="333">
        <v>39151711900</v>
      </c>
      <c r="B5700" t="s">
        <v>2560</v>
      </c>
      <c r="C5700" s="341" t="s">
        <v>5334</v>
      </c>
    </row>
    <row r="5701" spans="1:3" x14ac:dyDescent="0.2">
      <c r="A5701" s="333">
        <v>39151712000</v>
      </c>
      <c r="B5701" t="s">
        <v>2561</v>
      </c>
      <c r="C5701" s="341" t="s">
        <v>5334</v>
      </c>
    </row>
    <row r="5702" spans="1:3" x14ac:dyDescent="0.2">
      <c r="A5702" s="333">
        <v>39151712102</v>
      </c>
      <c r="B5702" t="s">
        <v>2562</v>
      </c>
      <c r="C5702" s="341" t="s">
        <v>5334</v>
      </c>
    </row>
    <row r="5703" spans="1:3" x14ac:dyDescent="0.2">
      <c r="A5703" s="333">
        <v>39151712112</v>
      </c>
      <c r="B5703" t="s">
        <v>2564</v>
      </c>
      <c r="C5703" s="341" t="s">
        <v>5334</v>
      </c>
    </row>
    <row r="5704" spans="1:3" x14ac:dyDescent="0.2">
      <c r="A5704" s="333">
        <v>39151712113</v>
      </c>
      <c r="B5704" t="s">
        <v>5852</v>
      </c>
      <c r="C5704" s="341" t="s">
        <v>5334</v>
      </c>
    </row>
    <row r="5705" spans="1:3" x14ac:dyDescent="0.2">
      <c r="A5705" s="333">
        <v>39151712114</v>
      </c>
      <c r="B5705" t="s">
        <v>5853</v>
      </c>
      <c r="C5705" s="341" t="s">
        <v>5334</v>
      </c>
    </row>
    <row r="5706" spans="1:3" x14ac:dyDescent="0.2">
      <c r="A5706" s="333">
        <v>39151712201</v>
      </c>
      <c r="B5706" t="s">
        <v>2565</v>
      </c>
      <c r="C5706" s="341" t="s">
        <v>5334</v>
      </c>
    </row>
    <row r="5707" spans="1:3" x14ac:dyDescent="0.2">
      <c r="A5707" s="333">
        <v>39151712202</v>
      </c>
      <c r="B5707" t="s">
        <v>2566</v>
      </c>
      <c r="C5707" s="341" t="s">
        <v>5334</v>
      </c>
    </row>
    <row r="5708" spans="1:3" x14ac:dyDescent="0.2">
      <c r="A5708" s="333">
        <v>39151712300</v>
      </c>
      <c r="B5708" t="s">
        <v>2567</v>
      </c>
      <c r="C5708" s="341" t="s">
        <v>5334</v>
      </c>
    </row>
    <row r="5709" spans="1:3" x14ac:dyDescent="0.2">
      <c r="A5709" s="333">
        <v>39151712400</v>
      </c>
      <c r="B5709" t="s">
        <v>2568</v>
      </c>
      <c r="C5709" s="341" t="s">
        <v>5334</v>
      </c>
    </row>
    <row r="5710" spans="1:3" x14ac:dyDescent="0.2">
      <c r="A5710" s="333">
        <v>39151712500</v>
      </c>
      <c r="B5710" t="s">
        <v>2569</v>
      </c>
      <c r="C5710" s="341" t="s">
        <v>5334</v>
      </c>
    </row>
    <row r="5711" spans="1:3" x14ac:dyDescent="0.2">
      <c r="A5711" s="333">
        <v>39151712601</v>
      </c>
      <c r="B5711" t="s">
        <v>2570</v>
      </c>
      <c r="C5711" s="341" t="s">
        <v>5334</v>
      </c>
    </row>
    <row r="5712" spans="1:3" x14ac:dyDescent="0.2">
      <c r="A5712" s="333">
        <v>39151712602</v>
      </c>
      <c r="B5712" t="s">
        <v>2571</v>
      </c>
      <c r="C5712" s="341" t="s">
        <v>5334</v>
      </c>
    </row>
    <row r="5713" spans="1:3" x14ac:dyDescent="0.2">
      <c r="A5713" s="333">
        <v>39151712700</v>
      </c>
      <c r="B5713" t="s">
        <v>2572</v>
      </c>
      <c r="C5713" s="341" t="s">
        <v>5334</v>
      </c>
    </row>
    <row r="5714" spans="1:3" x14ac:dyDescent="0.2">
      <c r="A5714" s="333">
        <v>39151712800</v>
      </c>
      <c r="B5714" t="s">
        <v>2573</v>
      </c>
      <c r="C5714" s="341" t="s">
        <v>5334</v>
      </c>
    </row>
    <row r="5715" spans="1:3" x14ac:dyDescent="0.2">
      <c r="A5715" s="333">
        <v>39151712900</v>
      </c>
      <c r="B5715" t="s">
        <v>2574</v>
      </c>
      <c r="C5715" s="341" t="s">
        <v>5334</v>
      </c>
    </row>
    <row r="5716" spans="1:3" x14ac:dyDescent="0.2">
      <c r="A5716" s="333">
        <v>39151713000</v>
      </c>
      <c r="B5716" t="s">
        <v>2575</v>
      </c>
      <c r="C5716" s="341" t="s">
        <v>5334</v>
      </c>
    </row>
    <row r="5717" spans="1:3" x14ac:dyDescent="0.2">
      <c r="A5717" s="333">
        <v>39151713100</v>
      </c>
      <c r="B5717" t="s">
        <v>2576</v>
      </c>
      <c r="C5717" s="341" t="s">
        <v>5334</v>
      </c>
    </row>
    <row r="5718" spans="1:3" x14ac:dyDescent="0.2">
      <c r="A5718" s="333">
        <v>39151713201</v>
      </c>
      <c r="B5718" t="s">
        <v>2577</v>
      </c>
      <c r="C5718" s="341" t="s">
        <v>5334</v>
      </c>
    </row>
    <row r="5719" spans="1:3" x14ac:dyDescent="0.2">
      <c r="A5719" s="333">
        <v>39151713202</v>
      </c>
      <c r="B5719" t="s">
        <v>2578</v>
      </c>
      <c r="C5719" s="341" t="s">
        <v>5334</v>
      </c>
    </row>
    <row r="5720" spans="1:3" x14ac:dyDescent="0.2">
      <c r="A5720" s="333">
        <v>39151713300</v>
      </c>
      <c r="B5720" t="s">
        <v>2579</v>
      </c>
      <c r="C5720" s="341" t="s">
        <v>5334</v>
      </c>
    </row>
    <row r="5721" spans="1:3" x14ac:dyDescent="0.2">
      <c r="A5721" s="333">
        <v>39151713401</v>
      </c>
      <c r="B5721" t="s">
        <v>2580</v>
      </c>
      <c r="C5721" s="341" t="s">
        <v>5334</v>
      </c>
    </row>
    <row r="5722" spans="1:3" x14ac:dyDescent="0.2">
      <c r="A5722" s="333">
        <v>39151713402</v>
      </c>
      <c r="B5722" t="s">
        <v>2581</v>
      </c>
      <c r="C5722" s="341" t="s">
        <v>5334</v>
      </c>
    </row>
    <row r="5723" spans="1:3" x14ac:dyDescent="0.2">
      <c r="A5723" s="333">
        <v>39151713501</v>
      </c>
      <c r="B5723" t="s">
        <v>2582</v>
      </c>
      <c r="C5723" s="341" t="s">
        <v>5334</v>
      </c>
    </row>
    <row r="5724" spans="1:3" x14ac:dyDescent="0.2">
      <c r="A5724" s="333">
        <v>39151713502</v>
      </c>
      <c r="B5724" t="s">
        <v>2583</v>
      </c>
      <c r="C5724" s="341" t="s">
        <v>5334</v>
      </c>
    </row>
    <row r="5725" spans="1:3" x14ac:dyDescent="0.2">
      <c r="A5725" s="333">
        <v>39151713600</v>
      </c>
      <c r="B5725" t="s">
        <v>2584</v>
      </c>
      <c r="C5725" s="341" t="s">
        <v>5334</v>
      </c>
    </row>
    <row r="5726" spans="1:3" x14ac:dyDescent="0.2">
      <c r="A5726" s="333">
        <v>39151713700</v>
      </c>
      <c r="B5726" t="s">
        <v>2585</v>
      </c>
      <c r="C5726" s="341" t="s">
        <v>5334</v>
      </c>
    </row>
    <row r="5727" spans="1:3" x14ac:dyDescent="0.2">
      <c r="A5727" s="333">
        <v>39151713900</v>
      </c>
      <c r="B5727" t="s">
        <v>2586</v>
      </c>
      <c r="C5727" s="341" t="s">
        <v>4330</v>
      </c>
    </row>
    <row r="5728" spans="1:3" x14ac:dyDescent="0.2">
      <c r="A5728" s="333">
        <v>39151714000</v>
      </c>
      <c r="B5728" t="s">
        <v>2587</v>
      </c>
      <c r="C5728" s="341" t="s">
        <v>5334</v>
      </c>
    </row>
    <row r="5729" spans="1:3" x14ac:dyDescent="0.2">
      <c r="A5729" s="333">
        <v>39151714100</v>
      </c>
      <c r="B5729" t="s">
        <v>2588</v>
      </c>
      <c r="C5729" s="341" t="s">
        <v>5334</v>
      </c>
    </row>
    <row r="5730" spans="1:3" x14ac:dyDescent="0.2">
      <c r="A5730" s="333">
        <v>39151714200</v>
      </c>
      <c r="B5730" t="s">
        <v>2589</v>
      </c>
      <c r="C5730" s="341" t="s">
        <v>4330</v>
      </c>
    </row>
    <row r="5731" spans="1:3" x14ac:dyDescent="0.2">
      <c r="A5731" s="333">
        <v>39151714302</v>
      </c>
      <c r="B5731" t="s">
        <v>2590</v>
      </c>
      <c r="C5731" s="341" t="s">
        <v>5334</v>
      </c>
    </row>
    <row r="5732" spans="1:3" x14ac:dyDescent="0.2">
      <c r="A5732" s="333">
        <v>39151714400</v>
      </c>
      <c r="B5732" t="s">
        <v>2591</v>
      </c>
      <c r="C5732" s="341" t="s">
        <v>5334</v>
      </c>
    </row>
    <row r="5733" spans="1:3" x14ac:dyDescent="0.2">
      <c r="A5733" s="333">
        <v>39151714600</v>
      </c>
      <c r="B5733" t="s">
        <v>2592</v>
      </c>
      <c r="C5733" s="341" t="s">
        <v>5334</v>
      </c>
    </row>
    <row r="5734" spans="1:3" x14ac:dyDescent="0.2">
      <c r="A5734" s="333">
        <v>39151714701</v>
      </c>
      <c r="B5734" t="s">
        <v>2593</v>
      </c>
      <c r="C5734" s="341" t="s">
        <v>5334</v>
      </c>
    </row>
    <row r="5735" spans="1:3" x14ac:dyDescent="0.2">
      <c r="A5735" s="333">
        <v>39151714702</v>
      </c>
      <c r="B5735" t="s">
        <v>2594</v>
      </c>
      <c r="C5735" s="341" t="s">
        <v>5334</v>
      </c>
    </row>
    <row r="5736" spans="1:3" x14ac:dyDescent="0.2">
      <c r="A5736" s="333">
        <v>39151714801</v>
      </c>
      <c r="B5736" t="s">
        <v>2595</v>
      </c>
      <c r="C5736" s="341" t="s">
        <v>5334</v>
      </c>
    </row>
    <row r="5737" spans="1:3" x14ac:dyDescent="0.2">
      <c r="A5737" s="333">
        <v>39151714802</v>
      </c>
      <c r="B5737" t="s">
        <v>2596</v>
      </c>
      <c r="C5737" s="341" t="s">
        <v>5334</v>
      </c>
    </row>
    <row r="5738" spans="1:3" x14ac:dyDescent="0.2">
      <c r="A5738" s="333">
        <v>39151714901</v>
      </c>
      <c r="B5738" t="s">
        <v>2597</v>
      </c>
      <c r="C5738" s="341" t="s">
        <v>5334</v>
      </c>
    </row>
    <row r="5739" spans="1:3" x14ac:dyDescent="0.2">
      <c r="A5739" s="333">
        <v>39151714902</v>
      </c>
      <c r="B5739" t="s">
        <v>2598</v>
      </c>
      <c r="C5739" s="341" t="s">
        <v>5334</v>
      </c>
    </row>
    <row r="5740" spans="1:3" x14ac:dyDescent="0.2">
      <c r="A5740" s="333">
        <v>39151715000</v>
      </c>
      <c r="B5740" t="s">
        <v>2599</v>
      </c>
      <c r="C5740" s="341" t="s">
        <v>4330</v>
      </c>
    </row>
    <row r="5741" spans="1:3" x14ac:dyDescent="0.2">
      <c r="A5741" s="333">
        <v>39153501100</v>
      </c>
      <c r="B5741" t="s">
        <v>2600</v>
      </c>
      <c r="C5741" s="341" t="s">
        <v>4330</v>
      </c>
    </row>
    <row r="5742" spans="1:3" x14ac:dyDescent="0.2">
      <c r="A5742" s="333">
        <v>39153501700</v>
      </c>
      <c r="B5742" t="s">
        <v>2601</v>
      </c>
      <c r="C5742" s="341" t="s">
        <v>4330</v>
      </c>
    </row>
    <row r="5743" spans="1:3" x14ac:dyDescent="0.2">
      <c r="A5743" s="333">
        <v>39153501800</v>
      </c>
      <c r="B5743" t="s">
        <v>2602</v>
      </c>
      <c r="C5743" s="341" t="s">
        <v>4330</v>
      </c>
    </row>
    <row r="5744" spans="1:3" x14ac:dyDescent="0.2">
      <c r="A5744" s="333">
        <v>39153501900</v>
      </c>
      <c r="B5744" t="s">
        <v>2603</v>
      </c>
      <c r="C5744" s="341" t="s">
        <v>4330</v>
      </c>
    </row>
    <row r="5745" spans="1:3" x14ac:dyDescent="0.2">
      <c r="A5745" s="333">
        <v>39153502101</v>
      </c>
      <c r="B5745" t="s">
        <v>2604</v>
      </c>
      <c r="C5745" s="341" t="s">
        <v>4330</v>
      </c>
    </row>
    <row r="5746" spans="1:3" x14ac:dyDescent="0.2">
      <c r="A5746" s="333">
        <v>39153502102</v>
      </c>
      <c r="B5746" t="s">
        <v>2605</v>
      </c>
      <c r="C5746" s="341" t="s">
        <v>4330</v>
      </c>
    </row>
    <row r="5747" spans="1:3" x14ac:dyDescent="0.2">
      <c r="A5747" s="333">
        <v>39153502200</v>
      </c>
      <c r="B5747" t="s">
        <v>2606</v>
      </c>
      <c r="C5747" s="341" t="s">
        <v>4330</v>
      </c>
    </row>
    <row r="5748" spans="1:3" x14ac:dyDescent="0.2">
      <c r="A5748" s="333">
        <v>39153502300</v>
      </c>
      <c r="B5748" t="s">
        <v>2607</v>
      </c>
      <c r="C5748" s="341" t="s">
        <v>4330</v>
      </c>
    </row>
    <row r="5749" spans="1:3" x14ac:dyDescent="0.2">
      <c r="A5749" s="333">
        <v>39153502500</v>
      </c>
      <c r="B5749" t="s">
        <v>2608</v>
      </c>
      <c r="C5749" s="341" t="s">
        <v>4330</v>
      </c>
    </row>
    <row r="5750" spans="1:3" x14ac:dyDescent="0.2">
      <c r="A5750" s="333">
        <v>39153502600</v>
      </c>
      <c r="B5750" t="s">
        <v>2609</v>
      </c>
      <c r="C5750" s="341" t="s">
        <v>4330</v>
      </c>
    </row>
    <row r="5751" spans="1:3" x14ac:dyDescent="0.2">
      <c r="A5751" s="333">
        <v>39153502700</v>
      </c>
      <c r="B5751" t="s">
        <v>2610</v>
      </c>
      <c r="C5751" s="341" t="s">
        <v>5334</v>
      </c>
    </row>
    <row r="5752" spans="1:3" x14ac:dyDescent="0.2">
      <c r="A5752" s="333">
        <v>39153502800</v>
      </c>
      <c r="B5752" t="s">
        <v>2611</v>
      </c>
      <c r="C5752" s="341" t="s">
        <v>5334</v>
      </c>
    </row>
    <row r="5753" spans="1:3" x14ac:dyDescent="0.2">
      <c r="A5753" s="333">
        <v>39153503100</v>
      </c>
      <c r="B5753" t="s">
        <v>2612</v>
      </c>
      <c r="C5753" s="341" t="s">
        <v>4330</v>
      </c>
    </row>
    <row r="5754" spans="1:3" x14ac:dyDescent="0.2">
      <c r="A5754" s="333">
        <v>39153503200</v>
      </c>
      <c r="B5754" t="s">
        <v>2613</v>
      </c>
      <c r="C5754" s="341" t="s">
        <v>4330</v>
      </c>
    </row>
    <row r="5755" spans="1:3" x14ac:dyDescent="0.2">
      <c r="A5755" s="333">
        <v>39153503300</v>
      </c>
      <c r="B5755" t="s">
        <v>2614</v>
      </c>
      <c r="C5755" s="341" t="s">
        <v>4330</v>
      </c>
    </row>
    <row r="5756" spans="1:3" x14ac:dyDescent="0.2">
      <c r="A5756" s="333">
        <v>39153503400</v>
      </c>
      <c r="B5756" t="s">
        <v>2615</v>
      </c>
      <c r="C5756" s="341" t="s">
        <v>4330</v>
      </c>
    </row>
    <row r="5757" spans="1:3" x14ac:dyDescent="0.2">
      <c r="A5757" s="333">
        <v>39153503500</v>
      </c>
      <c r="B5757" t="s">
        <v>2616</v>
      </c>
      <c r="C5757" s="341" t="s">
        <v>4330</v>
      </c>
    </row>
    <row r="5758" spans="1:3" x14ac:dyDescent="0.2">
      <c r="A5758" s="333">
        <v>39153503600</v>
      </c>
      <c r="B5758" t="s">
        <v>2617</v>
      </c>
      <c r="C5758" s="341" t="s">
        <v>5334</v>
      </c>
    </row>
    <row r="5759" spans="1:3" x14ac:dyDescent="0.2">
      <c r="A5759" s="333">
        <v>39153503701</v>
      </c>
      <c r="B5759" t="s">
        <v>2618</v>
      </c>
      <c r="C5759" s="341" t="s">
        <v>5334</v>
      </c>
    </row>
    <row r="5760" spans="1:3" x14ac:dyDescent="0.2">
      <c r="A5760" s="333">
        <v>39153503702</v>
      </c>
      <c r="B5760" t="s">
        <v>2619</v>
      </c>
      <c r="C5760" s="341" t="s">
        <v>5334</v>
      </c>
    </row>
    <row r="5761" spans="1:3" x14ac:dyDescent="0.2">
      <c r="A5761" s="333">
        <v>39153503800</v>
      </c>
      <c r="B5761" t="s">
        <v>2620</v>
      </c>
      <c r="C5761" s="341" t="s">
        <v>4330</v>
      </c>
    </row>
    <row r="5762" spans="1:3" x14ac:dyDescent="0.2">
      <c r="A5762" s="333">
        <v>39153504100</v>
      </c>
      <c r="B5762" t="s">
        <v>2621</v>
      </c>
      <c r="C5762" s="341" t="s">
        <v>4330</v>
      </c>
    </row>
    <row r="5763" spans="1:3" x14ac:dyDescent="0.2">
      <c r="A5763" s="333">
        <v>39153504200</v>
      </c>
      <c r="B5763" t="s">
        <v>2622</v>
      </c>
      <c r="C5763" s="341" t="s">
        <v>4330</v>
      </c>
    </row>
    <row r="5764" spans="1:3" x14ac:dyDescent="0.2">
      <c r="A5764" s="333">
        <v>39153504400</v>
      </c>
      <c r="B5764" t="s">
        <v>2623</v>
      </c>
      <c r="C5764" s="341" t="s">
        <v>4330</v>
      </c>
    </row>
    <row r="5765" spans="1:3" x14ac:dyDescent="0.2">
      <c r="A5765" s="333">
        <v>39153504500</v>
      </c>
      <c r="B5765" t="s">
        <v>2624</v>
      </c>
      <c r="C5765" s="341" t="s">
        <v>4330</v>
      </c>
    </row>
    <row r="5766" spans="1:3" x14ac:dyDescent="0.2">
      <c r="A5766" s="333">
        <v>39153504600</v>
      </c>
      <c r="B5766" t="s">
        <v>2625</v>
      </c>
      <c r="C5766" s="341" t="s">
        <v>4330</v>
      </c>
    </row>
    <row r="5767" spans="1:3" x14ac:dyDescent="0.2">
      <c r="A5767" s="333">
        <v>39153504700</v>
      </c>
      <c r="B5767" t="s">
        <v>2626</v>
      </c>
      <c r="C5767" s="341" t="s">
        <v>5334</v>
      </c>
    </row>
    <row r="5768" spans="1:3" x14ac:dyDescent="0.2">
      <c r="A5768" s="333">
        <v>39153504800</v>
      </c>
      <c r="B5768" t="s">
        <v>2627</v>
      </c>
      <c r="C5768" s="341" t="s">
        <v>5334</v>
      </c>
    </row>
    <row r="5769" spans="1:3" x14ac:dyDescent="0.2">
      <c r="A5769" s="333">
        <v>39153505200</v>
      </c>
      <c r="B5769" t="s">
        <v>2628</v>
      </c>
      <c r="C5769" s="341" t="s">
        <v>4330</v>
      </c>
    </row>
    <row r="5770" spans="1:3" x14ac:dyDescent="0.2">
      <c r="A5770" s="333">
        <v>39153505300</v>
      </c>
      <c r="B5770" t="s">
        <v>2629</v>
      </c>
      <c r="C5770" s="341" t="s">
        <v>4330</v>
      </c>
    </row>
    <row r="5771" spans="1:3" x14ac:dyDescent="0.2">
      <c r="A5771" s="333">
        <v>39153505400</v>
      </c>
      <c r="B5771" t="s">
        <v>2630</v>
      </c>
      <c r="C5771" s="341" t="s">
        <v>5334</v>
      </c>
    </row>
    <row r="5772" spans="1:3" x14ac:dyDescent="0.2">
      <c r="A5772" s="333">
        <v>39153505500</v>
      </c>
      <c r="B5772" t="s">
        <v>2631</v>
      </c>
      <c r="C5772" s="341" t="s">
        <v>4330</v>
      </c>
    </row>
    <row r="5773" spans="1:3" x14ac:dyDescent="0.2">
      <c r="A5773" s="333">
        <v>39153505600</v>
      </c>
      <c r="B5773" t="s">
        <v>2632</v>
      </c>
      <c r="C5773" s="341" t="s">
        <v>4330</v>
      </c>
    </row>
    <row r="5774" spans="1:3" x14ac:dyDescent="0.2">
      <c r="A5774" s="333">
        <v>39153505700</v>
      </c>
      <c r="B5774" t="s">
        <v>2633</v>
      </c>
      <c r="C5774" s="341" t="s">
        <v>5334</v>
      </c>
    </row>
    <row r="5775" spans="1:3" x14ac:dyDescent="0.2">
      <c r="A5775" s="333">
        <v>39153505800</v>
      </c>
      <c r="B5775" t="s">
        <v>2634</v>
      </c>
      <c r="C5775" s="341" t="s">
        <v>4330</v>
      </c>
    </row>
    <row r="5776" spans="1:3" x14ac:dyDescent="0.2">
      <c r="A5776" s="333">
        <v>39153505900</v>
      </c>
      <c r="B5776" t="s">
        <v>2635</v>
      </c>
      <c r="C5776" s="341" t="s">
        <v>5334</v>
      </c>
    </row>
    <row r="5777" spans="1:3" x14ac:dyDescent="0.2">
      <c r="A5777" s="333">
        <v>39153506100</v>
      </c>
      <c r="B5777" t="s">
        <v>2636</v>
      </c>
      <c r="C5777" s="341" t="s">
        <v>5334</v>
      </c>
    </row>
    <row r="5778" spans="1:3" x14ac:dyDescent="0.2">
      <c r="A5778" s="333">
        <v>39153506200</v>
      </c>
      <c r="B5778" t="s">
        <v>2637</v>
      </c>
      <c r="C5778" s="341" t="s">
        <v>5334</v>
      </c>
    </row>
    <row r="5779" spans="1:3" x14ac:dyDescent="0.2">
      <c r="A5779" s="333">
        <v>39153506400</v>
      </c>
      <c r="B5779" t="s">
        <v>2638</v>
      </c>
      <c r="C5779" s="341" t="s">
        <v>4330</v>
      </c>
    </row>
    <row r="5780" spans="1:3" x14ac:dyDescent="0.2">
      <c r="A5780" s="333">
        <v>39153506500</v>
      </c>
      <c r="B5780" t="s">
        <v>2639</v>
      </c>
      <c r="C5780" s="341" t="s">
        <v>4330</v>
      </c>
    </row>
    <row r="5781" spans="1:3" x14ac:dyDescent="0.2">
      <c r="A5781" s="333">
        <v>39153506600</v>
      </c>
      <c r="B5781" t="s">
        <v>2640</v>
      </c>
      <c r="C5781" s="341" t="s">
        <v>4330</v>
      </c>
    </row>
    <row r="5782" spans="1:3" x14ac:dyDescent="0.2">
      <c r="A5782" s="333">
        <v>39153506700</v>
      </c>
      <c r="B5782" t="s">
        <v>2641</v>
      </c>
      <c r="C5782" s="341" t="s">
        <v>4330</v>
      </c>
    </row>
    <row r="5783" spans="1:3" x14ac:dyDescent="0.2">
      <c r="A5783" s="333">
        <v>39153506800</v>
      </c>
      <c r="B5783" t="s">
        <v>2642</v>
      </c>
      <c r="C5783" s="341" t="s">
        <v>4330</v>
      </c>
    </row>
    <row r="5784" spans="1:3" x14ac:dyDescent="0.2">
      <c r="A5784" s="333">
        <v>39153507101</v>
      </c>
      <c r="B5784" t="s">
        <v>2643</v>
      </c>
      <c r="C5784" s="341" t="s">
        <v>5334</v>
      </c>
    </row>
    <row r="5785" spans="1:3" x14ac:dyDescent="0.2">
      <c r="A5785" s="333">
        <v>39153507102</v>
      </c>
      <c r="B5785" t="s">
        <v>2644</v>
      </c>
      <c r="C5785" s="341" t="s">
        <v>5334</v>
      </c>
    </row>
    <row r="5786" spans="1:3" x14ac:dyDescent="0.2">
      <c r="A5786" s="333">
        <v>39153507201</v>
      </c>
      <c r="B5786" t="s">
        <v>2645</v>
      </c>
      <c r="C5786" s="341" t="s">
        <v>5334</v>
      </c>
    </row>
    <row r="5787" spans="1:3" x14ac:dyDescent="0.2">
      <c r="A5787" s="333">
        <v>39153507202</v>
      </c>
      <c r="B5787" t="s">
        <v>2646</v>
      </c>
      <c r="C5787" s="341" t="s">
        <v>5334</v>
      </c>
    </row>
    <row r="5788" spans="1:3" x14ac:dyDescent="0.2">
      <c r="A5788" s="333">
        <v>39153507203</v>
      </c>
      <c r="B5788" t="s">
        <v>2647</v>
      </c>
      <c r="C5788" s="341" t="s">
        <v>5334</v>
      </c>
    </row>
    <row r="5789" spans="1:3" x14ac:dyDescent="0.2">
      <c r="A5789" s="333">
        <v>39153507300</v>
      </c>
      <c r="B5789" t="s">
        <v>2648</v>
      </c>
      <c r="C5789" s="341" t="s">
        <v>5334</v>
      </c>
    </row>
    <row r="5790" spans="1:3" x14ac:dyDescent="0.2">
      <c r="A5790" s="333">
        <v>39153507400</v>
      </c>
      <c r="B5790" t="s">
        <v>2649</v>
      </c>
      <c r="C5790" s="341" t="s">
        <v>4330</v>
      </c>
    </row>
    <row r="5791" spans="1:3" x14ac:dyDescent="0.2">
      <c r="A5791" s="333">
        <v>39153507501</v>
      </c>
      <c r="B5791" t="s">
        <v>5854</v>
      </c>
      <c r="C5791" s="341" t="s">
        <v>4330</v>
      </c>
    </row>
    <row r="5792" spans="1:3" x14ac:dyDescent="0.2">
      <c r="A5792" s="333">
        <v>39153507502</v>
      </c>
      <c r="B5792" t="s">
        <v>5855</v>
      </c>
      <c r="C5792" s="341" t="s">
        <v>4330</v>
      </c>
    </row>
    <row r="5793" spans="1:3" x14ac:dyDescent="0.2">
      <c r="A5793" s="333">
        <v>39153507600</v>
      </c>
      <c r="B5793" t="s">
        <v>2651</v>
      </c>
      <c r="C5793" s="341" t="s">
        <v>5334</v>
      </c>
    </row>
    <row r="5794" spans="1:3" x14ac:dyDescent="0.2">
      <c r="A5794" s="333">
        <v>39153508000</v>
      </c>
      <c r="B5794" t="s">
        <v>2652</v>
      </c>
      <c r="C5794" s="341" t="s">
        <v>5334</v>
      </c>
    </row>
    <row r="5795" spans="1:3" x14ac:dyDescent="0.2">
      <c r="A5795" s="333">
        <v>39153508301</v>
      </c>
      <c r="B5795" t="s">
        <v>2653</v>
      </c>
      <c r="C5795" s="341" t="s">
        <v>4330</v>
      </c>
    </row>
    <row r="5796" spans="1:3" x14ac:dyDescent="0.2">
      <c r="A5796" s="333">
        <v>39153508399</v>
      </c>
      <c r="B5796" t="s">
        <v>2654</v>
      </c>
      <c r="C5796" s="341" t="s">
        <v>4330</v>
      </c>
    </row>
    <row r="5797" spans="1:3" x14ac:dyDescent="0.2">
      <c r="A5797" s="333">
        <v>39153508600</v>
      </c>
      <c r="B5797" t="s">
        <v>2655</v>
      </c>
      <c r="C5797" s="341" t="s">
        <v>4330</v>
      </c>
    </row>
    <row r="5798" spans="1:3" x14ac:dyDescent="0.2">
      <c r="A5798" s="333">
        <v>39153508800</v>
      </c>
      <c r="B5798" t="s">
        <v>2656</v>
      </c>
      <c r="C5798" s="341" t="s">
        <v>4330</v>
      </c>
    </row>
    <row r="5799" spans="1:3" x14ac:dyDescent="0.2">
      <c r="A5799" s="333">
        <v>39153508900</v>
      </c>
      <c r="B5799" t="s">
        <v>2657</v>
      </c>
      <c r="C5799" s="341" t="s">
        <v>4330</v>
      </c>
    </row>
    <row r="5800" spans="1:3" x14ac:dyDescent="0.2">
      <c r="A5800" s="333">
        <v>39153509000</v>
      </c>
      <c r="B5800" t="s">
        <v>2658</v>
      </c>
      <c r="C5800" s="341" t="s">
        <v>4330</v>
      </c>
    </row>
    <row r="5801" spans="1:3" x14ac:dyDescent="0.2">
      <c r="A5801" s="333">
        <v>39153510100</v>
      </c>
      <c r="B5801" t="s">
        <v>2659</v>
      </c>
      <c r="C5801" s="341" t="s">
        <v>5334</v>
      </c>
    </row>
    <row r="5802" spans="1:3" x14ac:dyDescent="0.2">
      <c r="A5802" s="333">
        <v>39153510200</v>
      </c>
      <c r="B5802" t="s">
        <v>2660</v>
      </c>
      <c r="C5802" s="341" t="s">
        <v>5334</v>
      </c>
    </row>
    <row r="5803" spans="1:3" x14ac:dyDescent="0.2">
      <c r="A5803" s="333">
        <v>39153510301</v>
      </c>
      <c r="B5803" t="s">
        <v>2661</v>
      </c>
      <c r="C5803" s="341" t="s">
        <v>4330</v>
      </c>
    </row>
    <row r="5804" spans="1:3" x14ac:dyDescent="0.2">
      <c r="A5804" s="333">
        <v>39153510302</v>
      </c>
      <c r="B5804" t="s">
        <v>2662</v>
      </c>
      <c r="C5804" s="341" t="s">
        <v>5334</v>
      </c>
    </row>
    <row r="5805" spans="1:3" x14ac:dyDescent="0.2">
      <c r="A5805" s="333">
        <v>39153510400</v>
      </c>
      <c r="B5805" t="s">
        <v>2663</v>
      </c>
      <c r="C5805" s="341" t="s">
        <v>5334</v>
      </c>
    </row>
    <row r="5806" spans="1:3" x14ac:dyDescent="0.2">
      <c r="A5806" s="333">
        <v>39153510500</v>
      </c>
      <c r="B5806" t="s">
        <v>2664</v>
      </c>
      <c r="C5806" s="341" t="s">
        <v>5334</v>
      </c>
    </row>
    <row r="5807" spans="1:3" x14ac:dyDescent="0.2">
      <c r="A5807" s="333">
        <v>39153520103</v>
      </c>
      <c r="B5807" t="s">
        <v>2665</v>
      </c>
      <c r="C5807" s="341" t="s">
        <v>5334</v>
      </c>
    </row>
    <row r="5808" spans="1:3" x14ac:dyDescent="0.2">
      <c r="A5808" s="333">
        <v>39153520104</v>
      </c>
      <c r="B5808" t="s">
        <v>2666</v>
      </c>
      <c r="C5808" s="341" t="s">
        <v>5334</v>
      </c>
    </row>
    <row r="5809" spans="1:3" x14ac:dyDescent="0.2">
      <c r="A5809" s="333">
        <v>39153520105</v>
      </c>
      <c r="B5809" t="s">
        <v>2667</v>
      </c>
      <c r="C5809" s="341" t="s">
        <v>5334</v>
      </c>
    </row>
    <row r="5810" spans="1:3" x14ac:dyDescent="0.2">
      <c r="A5810" s="333">
        <v>39153520106</v>
      </c>
      <c r="B5810" t="s">
        <v>2668</v>
      </c>
      <c r="C5810" s="341" t="s">
        <v>5334</v>
      </c>
    </row>
    <row r="5811" spans="1:3" x14ac:dyDescent="0.2">
      <c r="A5811" s="333">
        <v>39153520201</v>
      </c>
      <c r="B5811" t="s">
        <v>2669</v>
      </c>
      <c r="C5811" s="341" t="s">
        <v>5334</v>
      </c>
    </row>
    <row r="5812" spans="1:3" x14ac:dyDescent="0.2">
      <c r="A5812" s="333">
        <v>39153520202</v>
      </c>
      <c r="B5812" t="s">
        <v>2670</v>
      </c>
      <c r="C5812" s="341" t="s">
        <v>5334</v>
      </c>
    </row>
    <row r="5813" spans="1:3" x14ac:dyDescent="0.2">
      <c r="A5813" s="333">
        <v>39153520301</v>
      </c>
      <c r="B5813" t="s">
        <v>2671</v>
      </c>
      <c r="C5813" s="341" t="s">
        <v>5334</v>
      </c>
    </row>
    <row r="5814" spans="1:3" x14ac:dyDescent="0.2">
      <c r="A5814" s="333">
        <v>39153520302</v>
      </c>
      <c r="B5814" t="s">
        <v>2672</v>
      </c>
      <c r="C5814" s="341" t="s">
        <v>5334</v>
      </c>
    </row>
    <row r="5815" spans="1:3" x14ac:dyDescent="0.2">
      <c r="A5815" s="333">
        <v>39153520400</v>
      </c>
      <c r="B5815" t="s">
        <v>2673</v>
      </c>
      <c r="C5815" s="341" t="s">
        <v>5334</v>
      </c>
    </row>
    <row r="5816" spans="1:3" x14ac:dyDescent="0.2">
      <c r="A5816" s="333">
        <v>39153520500</v>
      </c>
      <c r="B5816" t="s">
        <v>2674</v>
      </c>
      <c r="C5816" s="341" t="s">
        <v>5334</v>
      </c>
    </row>
    <row r="5817" spans="1:3" x14ac:dyDescent="0.2">
      <c r="A5817" s="333">
        <v>39153520600</v>
      </c>
      <c r="B5817" t="s">
        <v>2675</v>
      </c>
      <c r="C5817" s="341" t="s">
        <v>5334</v>
      </c>
    </row>
    <row r="5818" spans="1:3" x14ac:dyDescent="0.2">
      <c r="A5818" s="333">
        <v>39153530101</v>
      </c>
      <c r="B5818" t="s">
        <v>2676</v>
      </c>
      <c r="C5818" s="341" t="s">
        <v>5334</v>
      </c>
    </row>
    <row r="5819" spans="1:3" x14ac:dyDescent="0.2">
      <c r="A5819" s="333">
        <v>39153530103</v>
      </c>
      <c r="B5819" t="s">
        <v>2677</v>
      </c>
      <c r="C5819" s="341" t="s">
        <v>5334</v>
      </c>
    </row>
    <row r="5820" spans="1:3" x14ac:dyDescent="0.2">
      <c r="A5820" s="333">
        <v>39153530104</v>
      </c>
      <c r="B5820" t="s">
        <v>2678</v>
      </c>
      <c r="C5820" s="341" t="s">
        <v>5334</v>
      </c>
    </row>
    <row r="5821" spans="1:3" x14ac:dyDescent="0.2">
      <c r="A5821" s="333">
        <v>39153530105</v>
      </c>
      <c r="B5821" t="s">
        <v>2679</v>
      </c>
      <c r="C5821" s="341" t="s">
        <v>5334</v>
      </c>
    </row>
    <row r="5822" spans="1:3" x14ac:dyDescent="0.2">
      <c r="A5822" s="333">
        <v>39153530108</v>
      </c>
      <c r="B5822" t="s">
        <v>2680</v>
      </c>
      <c r="C5822" s="341" t="s">
        <v>5334</v>
      </c>
    </row>
    <row r="5823" spans="1:3" x14ac:dyDescent="0.2">
      <c r="A5823" s="333">
        <v>39153530401</v>
      </c>
      <c r="B5823" t="s">
        <v>2681</v>
      </c>
      <c r="C5823" s="341" t="s">
        <v>5334</v>
      </c>
    </row>
    <row r="5824" spans="1:3" x14ac:dyDescent="0.2">
      <c r="A5824" s="333">
        <v>39153530402</v>
      </c>
      <c r="B5824" t="s">
        <v>2682</v>
      </c>
      <c r="C5824" s="341" t="s">
        <v>5334</v>
      </c>
    </row>
    <row r="5825" spans="1:3" x14ac:dyDescent="0.2">
      <c r="A5825" s="333">
        <v>39153530501</v>
      </c>
      <c r="B5825" t="s">
        <v>2683</v>
      </c>
      <c r="C5825" s="341" t="s">
        <v>5334</v>
      </c>
    </row>
    <row r="5826" spans="1:3" x14ac:dyDescent="0.2">
      <c r="A5826" s="333">
        <v>39153530502</v>
      </c>
      <c r="B5826" t="s">
        <v>2684</v>
      </c>
      <c r="C5826" s="341" t="s">
        <v>5334</v>
      </c>
    </row>
    <row r="5827" spans="1:3" x14ac:dyDescent="0.2">
      <c r="A5827" s="333">
        <v>39153530603</v>
      </c>
      <c r="B5827" t="s">
        <v>2685</v>
      </c>
      <c r="C5827" s="341" t="s">
        <v>5334</v>
      </c>
    </row>
    <row r="5828" spans="1:3" x14ac:dyDescent="0.2">
      <c r="A5828" s="333">
        <v>39153530604</v>
      </c>
      <c r="B5828" t="s">
        <v>2686</v>
      </c>
      <c r="C5828" s="341" t="s">
        <v>5334</v>
      </c>
    </row>
    <row r="5829" spans="1:3" x14ac:dyDescent="0.2">
      <c r="A5829" s="333">
        <v>39153530605</v>
      </c>
      <c r="B5829" t="s">
        <v>2687</v>
      </c>
      <c r="C5829" s="341" t="s">
        <v>5334</v>
      </c>
    </row>
    <row r="5830" spans="1:3" x14ac:dyDescent="0.2">
      <c r="A5830" s="333">
        <v>39153530606</v>
      </c>
      <c r="B5830" t="s">
        <v>2688</v>
      </c>
      <c r="C5830" s="341" t="s">
        <v>5334</v>
      </c>
    </row>
    <row r="5831" spans="1:3" x14ac:dyDescent="0.2">
      <c r="A5831" s="333">
        <v>39153530700</v>
      </c>
      <c r="B5831" t="s">
        <v>2689</v>
      </c>
      <c r="C5831" s="341" t="s">
        <v>5334</v>
      </c>
    </row>
    <row r="5832" spans="1:3" x14ac:dyDescent="0.2">
      <c r="A5832" s="333">
        <v>39153530800</v>
      </c>
      <c r="B5832" t="s">
        <v>2690</v>
      </c>
      <c r="C5832" s="341" t="s">
        <v>5334</v>
      </c>
    </row>
    <row r="5833" spans="1:3" x14ac:dyDescent="0.2">
      <c r="A5833" s="333">
        <v>39153530901</v>
      </c>
      <c r="B5833" t="s">
        <v>2691</v>
      </c>
      <c r="C5833" s="341" t="s">
        <v>5334</v>
      </c>
    </row>
    <row r="5834" spans="1:3" x14ac:dyDescent="0.2">
      <c r="A5834" s="333">
        <v>39153530902</v>
      </c>
      <c r="B5834" t="s">
        <v>2692</v>
      </c>
      <c r="C5834" s="341" t="s">
        <v>5334</v>
      </c>
    </row>
    <row r="5835" spans="1:3" x14ac:dyDescent="0.2">
      <c r="A5835" s="333">
        <v>39153530903</v>
      </c>
      <c r="B5835" t="s">
        <v>2693</v>
      </c>
      <c r="C5835" s="341" t="s">
        <v>5334</v>
      </c>
    </row>
    <row r="5836" spans="1:3" x14ac:dyDescent="0.2">
      <c r="A5836" s="333">
        <v>39153531001</v>
      </c>
      <c r="B5836" t="s">
        <v>2694</v>
      </c>
      <c r="C5836" s="341" t="s">
        <v>5334</v>
      </c>
    </row>
    <row r="5837" spans="1:3" x14ac:dyDescent="0.2">
      <c r="A5837" s="333">
        <v>39153531002</v>
      </c>
      <c r="B5837" t="s">
        <v>2695</v>
      </c>
      <c r="C5837" s="341" t="s">
        <v>5334</v>
      </c>
    </row>
    <row r="5838" spans="1:3" x14ac:dyDescent="0.2">
      <c r="A5838" s="333">
        <v>39153531101</v>
      </c>
      <c r="B5838" t="s">
        <v>2696</v>
      </c>
      <c r="C5838" s="341" t="s">
        <v>5334</v>
      </c>
    </row>
    <row r="5839" spans="1:3" x14ac:dyDescent="0.2">
      <c r="A5839" s="333">
        <v>39153531102</v>
      </c>
      <c r="B5839" t="s">
        <v>2697</v>
      </c>
      <c r="C5839" s="341" t="s">
        <v>5334</v>
      </c>
    </row>
    <row r="5840" spans="1:3" x14ac:dyDescent="0.2">
      <c r="A5840" s="333">
        <v>39153531103</v>
      </c>
      <c r="B5840" t="s">
        <v>2698</v>
      </c>
      <c r="C5840" s="341" t="s">
        <v>5334</v>
      </c>
    </row>
    <row r="5841" spans="1:3" x14ac:dyDescent="0.2">
      <c r="A5841" s="333">
        <v>39153531405</v>
      </c>
      <c r="B5841" t="s">
        <v>2700</v>
      </c>
      <c r="C5841" s="341" t="s">
        <v>5334</v>
      </c>
    </row>
    <row r="5842" spans="1:3" x14ac:dyDescent="0.2">
      <c r="A5842" s="333">
        <v>39153531406</v>
      </c>
      <c r="B5842" t="s">
        <v>5856</v>
      </c>
      <c r="C5842" s="341" t="s">
        <v>5334</v>
      </c>
    </row>
    <row r="5843" spans="1:3" x14ac:dyDescent="0.2">
      <c r="A5843" s="333">
        <v>39153531407</v>
      </c>
      <c r="B5843" t="s">
        <v>5857</v>
      </c>
      <c r="C5843" s="341" t="s">
        <v>5334</v>
      </c>
    </row>
    <row r="5844" spans="1:3" x14ac:dyDescent="0.2">
      <c r="A5844" s="333">
        <v>39153531501</v>
      </c>
      <c r="B5844" t="s">
        <v>5858</v>
      </c>
      <c r="C5844" s="341" t="s">
        <v>5334</v>
      </c>
    </row>
    <row r="5845" spans="1:3" x14ac:dyDescent="0.2">
      <c r="A5845" s="333">
        <v>39153531502</v>
      </c>
      <c r="B5845" t="s">
        <v>5859</v>
      </c>
      <c r="C5845" s="341" t="s">
        <v>5334</v>
      </c>
    </row>
    <row r="5846" spans="1:3" x14ac:dyDescent="0.2">
      <c r="A5846" s="333">
        <v>39153531601</v>
      </c>
      <c r="B5846" t="s">
        <v>2702</v>
      </c>
      <c r="C5846" s="341" t="s">
        <v>5334</v>
      </c>
    </row>
    <row r="5847" spans="1:3" x14ac:dyDescent="0.2">
      <c r="A5847" s="333">
        <v>39153531602</v>
      </c>
      <c r="B5847" t="s">
        <v>2703</v>
      </c>
      <c r="C5847" s="341" t="s">
        <v>5334</v>
      </c>
    </row>
    <row r="5848" spans="1:3" x14ac:dyDescent="0.2">
      <c r="A5848" s="333">
        <v>39153531701</v>
      </c>
      <c r="B5848" t="s">
        <v>2704</v>
      </c>
      <c r="C5848" s="341" t="s">
        <v>5334</v>
      </c>
    </row>
    <row r="5849" spans="1:3" x14ac:dyDescent="0.2">
      <c r="A5849" s="333">
        <v>39153531702</v>
      </c>
      <c r="B5849" t="s">
        <v>2705</v>
      </c>
      <c r="C5849" s="341" t="s">
        <v>5334</v>
      </c>
    </row>
    <row r="5850" spans="1:3" x14ac:dyDescent="0.2">
      <c r="A5850" s="333">
        <v>39153531801</v>
      </c>
      <c r="B5850" t="s">
        <v>2706</v>
      </c>
      <c r="C5850" s="341" t="s">
        <v>5334</v>
      </c>
    </row>
    <row r="5851" spans="1:3" x14ac:dyDescent="0.2">
      <c r="A5851" s="333">
        <v>39153531802</v>
      </c>
      <c r="B5851" t="s">
        <v>2707</v>
      </c>
      <c r="C5851" s="341" t="s">
        <v>5334</v>
      </c>
    </row>
    <row r="5852" spans="1:3" x14ac:dyDescent="0.2">
      <c r="A5852" s="333">
        <v>39153532001</v>
      </c>
      <c r="B5852" t="s">
        <v>2708</v>
      </c>
      <c r="C5852" s="341" t="s">
        <v>5334</v>
      </c>
    </row>
    <row r="5853" spans="1:3" x14ac:dyDescent="0.2">
      <c r="A5853" s="333">
        <v>39153532003</v>
      </c>
      <c r="B5853" t="s">
        <v>2709</v>
      </c>
      <c r="C5853" s="341" t="s">
        <v>5334</v>
      </c>
    </row>
    <row r="5854" spans="1:3" x14ac:dyDescent="0.2">
      <c r="A5854" s="333">
        <v>39153532004</v>
      </c>
      <c r="B5854" t="s">
        <v>2710</v>
      </c>
      <c r="C5854" s="341" t="s">
        <v>5334</v>
      </c>
    </row>
    <row r="5855" spans="1:3" x14ac:dyDescent="0.2">
      <c r="A5855" s="333">
        <v>39153532202</v>
      </c>
      <c r="B5855" t="s">
        <v>2711</v>
      </c>
      <c r="C5855" s="341" t="s">
        <v>5334</v>
      </c>
    </row>
    <row r="5856" spans="1:3" x14ac:dyDescent="0.2">
      <c r="A5856" s="333">
        <v>39153532301</v>
      </c>
      <c r="B5856" t="s">
        <v>2712</v>
      </c>
      <c r="C5856" s="341" t="s">
        <v>5334</v>
      </c>
    </row>
    <row r="5857" spans="1:3" x14ac:dyDescent="0.2">
      <c r="A5857" s="333">
        <v>39153532302</v>
      </c>
      <c r="B5857" t="s">
        <v>2713</v>
      </c>
      <c r="C5857" s="341" t="s">
        <v>5334</v>
      </c>
    </row>
    <row r="5858" spans="1:3" x14ac:dyDescent="0.2">
      <c r="A5858" s="333">
        <v>39153532501</v>
      </c>
      <c r="B5858" t="s">
        <v>2714</v>
      </c>
      <c r="C5858" s="341" t="s">
        <v>5334</v>
      </c>
    </row>
    <row r="5859" spans="1:3" x14ac:dyDescent="0.2">
      <c r="A5859" s="333">
        <v>39153532502</v>
      </c>
      <c r="B5859" t="s">
        <v>2715</v>
      </c>
      <c r="C5859" s="341" t="s">
        <v>5334</v>
      </c>
    </row>
    <row r="5860" spans="1:3" x14ac:dyDescent="0.2">
      <c r="A5860" s="333">
        <v>39153532600</v>
      </c>
      <c r="B5860" t="s">
        <v>2716</v>
      </c>
      <c r="C5860" s="341" t="s">
        <v>5334</v>
      </c>
    </row>
    <row r="5861" spans="1:3" x14ac:dyDescent="0.2">
      <c r="A5861" s="333">
        <v>39153532701</v>
      </c>
      <c r="B5861" t="s">
        <v>2717</v>
      </c>
      <c r="C5861" s="341" t="s">
        <v>5334</v>
      </c>
    </row>
    <row r="5862" spans="1:3" x14ac:dyDescent="0.2">
      <c r="A5862" s="333">
        <v>39153532702</v>
      </c>
      <c r="B5862" t="s">
        <v>2718</v>
      </c>
      <c r="C5862" s="341" t="s">
        <v>5334</v>
      </c>
    </row>
    <row r="5863" spans="1:3" x14ac:dyDescent="0.2">
      <c r="A5863" s="333">
        <v>39153532703</v>
      </c>
      <c r="B5863" t="s">
        <v>2719</v>
      </c>
      <c r="C5863" s="341" t="s">
        <v>5334</v>
      </c>
    </row>
    <row r="5864" spans="1:3" x14ac:dyDescent="0.2">
      <c r="A5864" s="333">
        <v>39153532705</v>
      </c>
      <c r="B5864" t="s">
        <v>2720</v>
      </c>
      <c r="C5864" s="341" t="s">
        <v>5334</v>
      </c>
    </row>
    <row r="5865" spans="1:3" x14ac:dyDescent="0.2">
      <c r="A5865" s="333">
        <v>39153532706</v>
      </c>
      <c r="B5865" t="s">
        <v>2721</v>
      </c>
      <c r="C5865" s="341" t="s">
        <v>5334</v>
      </c>
    </row>
    <row r="5866" spans="1:3" x14ac:dyDescent="0.2">
      <c r="A5866" s="333">
        <v>39153532708</v>
      </c>
      <c r="B5866" t="s">
        <v>2722</v>
      </c>
      <c r="C5866" s="341" t="s">
        <v>5334</v>
      </c>
    </row>
    <row r="5867" spans="1:3" x14ac:dyDescent="0.2">
      <c r="A5867" s="333">
        <v>39153532901</v>
      </c>
      <c r="B5867" t="s">
        <v>2723</v>
      </c>
      <c r="C5867" s="341" t="s">
        <v>5334</v>
      </c>
    </row>
    <row r="5868" spans="1:3" x14ac:dyDescent="0.2">
      <c r="A5868" s="333">
        <v>39153532902</v>
      </c>
      <c r="B5868" t="s">
        <v>2724</v>
      </c>
      <c r="C5868" s="341" t="s">
        <v>5334</v>
      </c>
    </row>
    <row r="5869" spans="1:3" x14ac:dyDescent="0.2">
      <c r="A5869" s="333">
        <v>39153532999</v>
      </c>
      <c r="B5869" t="s">
        <v>2725</v>
      </c>
      <c r="C5869" s="341" t="s">
        <v>5334</v>
      </c>
    </row>
    <row r="5870" spans="1:3" x14ac:dyDescent="0.2">
      <c r="A5870" s="333">
        <v>39153533000</v>
      </c>
      <c r="B5870" t="s">
        <v>2726</v>
      </c>
      <c r="C5870" s="341" t="s">
        <v>5334</v>
      </c>
    </row>
    <row r="5871" spans="1:3" x14ac:dyDescent="0.2">
      <c r="A5871" s="333">
        <v>39153533101</v>
      </c>
      <c r="B5871" t="s">
        <v>2727</v>
      </c>
      <c r="C5871" s="341" t="s">
        <v>5334</v>
      </c>
    </row>
    <row r="5872" spans="1:3" x14ac:dyDescent="0.2">
      <c r="A5872" s="333">
        <v>39153533102</v>
      </c>
      <c r="B5872" t="s">
        <v>2728</v>
      </c>
      <c r="C5872" s="341" t="s">
        <v>5334</v>
      </c>
    </row>
    <row r="5873" spans="1:3" x14ac:dyDescent="0.2">
      <c r="A5873" s="333">
        <v>39153533200</v>
      </c>
      <c r="B5873" t="s">
        <v>2729</v>
      </c>
      <c r="C5873" s="341" t="s">
        <v>5334</v>
      </c>
    </row>
    <row r="5874" spans="1:3" x14ac:dyDescent="0.2">
      <c r="A5874" s="333">
        <v>39153533400</v>
      </c>
      <c r="B5874" t="s">
        <v>2730</v>
      </c>
      <c r="C5874" s="341" t="s">
        <v>5334</v>
      </c>
    </row>
    <row r="5875" spans="1:3" x14ac:dyDescent="0.2">
      <c r="A5875" s="333">
        <v>39153533501</v>
      </c>
      <c r="B5875" t="s">
        <v>2731</v>
      </c>
      <c r="C5875" s="341" t="s">
        <v>5334</v>
      </c>
    </row>
    <row r="5876" spans="1:3" x14ac:dyDescent="0.2">
      <c r="A5876" s="333">
        <v>39153533502</v>
      </c>
      <c r="B5876" t="s">
        <v>2732</v>
      </c>
      <c r="C5876" s="341" t="s">
        <v>5334</v>
      </c>
    </row>
    <row r="5877" spans="1:3" x14ac:dyDescent="0.2">
      <c r="A5877" s="333">
        <v>39153534000</v>
      </c>
      <c r="B5877" t="s">
        <v>2733</v>
      </c>
      <c r="C5877" s="341" t="s">
        <v>5334</v>
      </c>
    </row>
    <row r="5878" spans="1:3" x14ac:dyDescent="0.2">
      <c r="A5878" s="333">
        <v>39153534100</v>
      </c>
      <c r="B5878" t="s">
        <v>2734</v>
      </c>
      <c r="C5878" s="341" t="s">
        <v>5334</v>
      </c>
    </row>
    <row r="5879" spans="1:3" x14ac:dyDescent="0.2">
      <c r="A5879" s="333">
        <v>39155920300</v>
      </c>
      <c r="B5879" t="s">
        <v>2735</v>
      </c>
      <c r="C5879" s="341" t="s">
        <v>5334</v>
      </c>
    </row>
    <row r="5880" spans="1:3" x14ac:dyDescent="0.2">
      <c r="A5880" s="333">
        <v>39155920400</v>
      </c>
      <c r="B5880" t="s">
        <v>2736</v>
      </c>
      <c r="C5880" s="341" t="s">
        <v>4330</v>
      </c>
    </row>
    <row r="5881" spans="1:3" x14ac:dyDescent="0.2">
      <c r="A5881" s="333">
        <v>39155920700</v>
      </c>
      <c r="B5881" t="s">
        <v>2739</v>
      </c>
      <c r="C5881" s="341" t="s">
        <v>4330</v>
      </c>
    </row>
    <row r="5882" spans="1:3" x14ac:dyDescent="0.2">
      <c r="A5882" s="333">
        <v>39155920800</v>
      </c>
      <c r="B5882" t="s">
        <v>2740</v>
      </c>
      <c r="C5882" s="341" t="s">
        <v>4330</v>
      </c>
    </row>
    <row r="5883" spans="1:3" x14ac:dyDescent="0.2">
      <c r="A5883" s="333">
        <v>39155920900</v>
      </c>
      <c r="B5883" t="s">
        <v>2741</v>
      </c>
      <c r="C5883" s="341" t="s">
        <v>4330</v>
      </c>
    </row>
    <row r="5884" spans="1:3" x14ac:dyDescent="0.2">
      <c r="A5884" s="333">
        <v>39155921000</v>
      </c>
      <c r="B5884" t="s">
        <v>2742</v>
      </c>
      <c r="C5884" s="341" t="s">
        <v>4330</v>
      </c>
    </row>
    <row r="5885" spans="1:3" x14ac:dyDescent="0.2">
      <c r="A5885" s="333">
        <v>39155921100</v>
      </c>
      <c r="B5885" t="s">
        <v>2743</v>
      </c>
      <c r="C5885" s="341" t="s">
        <v>4330</v>
      </c>
    </row>
    <row r="5886" spans="1:3" x14ac:dyDescent="0.2">
      <c r="A5886" s="333">
        <v>39155921200</v>
      </c>
      <c r="B5886" t="s">
        <v>2744</v>
      </c>
      <c r="C5886" s="341" t="s">
        <v>4330</v>
      </c>
    </row>
    <row r="5887" spans="1:3" x14ac:dyDescent="0.2">
      <c r="A5887" s="333">
        <v>39155921300</v>
      </c>
      <c r="B5887" t="s">
        <v>2745</v>
      </c>
      <c r="C5887" s="341" t="s">
        <v>5334</v>
      </c>
    </row>
    <row r="5888" spans="1:3" x14ac:dyDescent="0.2">
      <c r="A5888" s="333">
        <v>39155921400</v>
      </c>
      <c r="B5888" t="s">
        <v>2746</v>
      </c>
      <c r="C5888" s="341" t="s">
        <v>5334</v>
      </c>
    </row>
    <row r="5889" spans="1:3" x14ac:dyDescent="0.2">
      <c r="A5889" s="333">
        <v>39155921500</v>
      </c>
      <c r="B5889" t="s">
        <v>2747</v>
      </c>
      <c r="C5889" s="341" t="s">
        <v>5334</v>
      </c>
    </row>
    <row r="5890" spans="1:3" x14ac:dyDescent="0.2">
      <c r="A5890" s="333">
        <v>39155921600</v>
      </c>
      <c r="B5890" t="s">
        <v>2748</v>
      </c>
      <c r="C5890" s="341" t="s">
        <v>4330</v>
      </c>
    </row>
    <row r="5891" spans="1:3" x14ac:dyDescent="0.2">
      <c r="A5891" s="333">
        <v>39155930101</v>
      </c>
      <c r="B5891" t="s">
        <v>2749</v>
      </c>
      <c r="C5891" s="341" t="s">
        <v>5334</v>
      </c>
    </row>
    <row r="5892" spans="1:3" x14ac:dyDescent="0.2">
      <c r="A5892" s="333">
        <v>39155930102</v>
      </c>
      <c r="B5892" t="s">
        <v>2750</v>
      </c>
      <c r="C5892" s="341" t="s">
        <v>5334</v>
      </c>
    </row>
    <row r="5893" spans="1:3" x14ac:dyDescent="0.2">
      <c r="A5893" s="333">
        <v>39155930200</v>
      </c>
      <c r="B5893" t="s">
        <v>2751</v>
      </c>
      <c r="C5893" s="341" t="s">
        <v>5334</v>
      </c>
    </row>
    <row r="5894" spans="1:3" x14ac:dyDescent="0.2">
      <c r="A5894" s="333">
        <v>39155930300</v>
      </c>
      <c r="B5894" t="s">
        <v>2752</v>
      </c>
      <c r="C5894" s="341" t="s">
        <v>5334</v>
      </c>
    </row>
    <row r="5895" spans="1:3" x14ac:dyDescent="0.2">
      <c r="A5895" s="333">
        <v>39155930400</v>
      </c>
      <c r="B5895" t="s">
        <v>2753</v>
      </c>
      <c r="C5895" s="341" t="s">
        <v>5334</v>
      </c>
    </row>
    <row r="5896" spans="1:3" x14ac:dyDescent="0.2">
      <c r="A5896" s="333">
        <v>39155930500</v>
      </c>
      <c r="B5896" t="s">
        <v>2754</v>
      </c>
      <c r="C5896" s="341" t="s">
        <v>5334</v>
      </c>
    </row>
    <row r="5897" spans="1:3" x14ac:dyDescent="0.2">
      <c r="A5897" s="333">
        <v>39155930600</v>
      </c>
      <c r="B5897" t="s">
        <v>2755</v>
      </c>
      <c r="C5897" s="341" t="s">
        <v>5334</v>
      </c>
    </row>
    <row r="5898" spans="1:3" x14ac:dyDescent="0.2">
      <c r="A5898" s="333">
        <v>39155930700</v>
      </c>
      <c r="B5898" t="s">
        <v>2756</v>
      </c>
      <c r="C5898" s="341" t="s">
        <v>5334</v>
      </c>
    </row>
    <row r="5899" spans="1:3" x14ac:dyDescent="0.2">
      <c r="A5899" s="333">
        <v>39155930800</v>
      </c>
      <c r="B5899" t="s">
        <v>2757</v>
      </c>
      <c r="C5899" s="341" t="s">
        <v>5334</v>
      </c>
    </row>
    <row r="5900" spans="1:3" x14ac:dyDescent="0.2">
      <c r="A5900" s="333">
        <v>39155930900</v>
      </c>
      <c r="B5900" t="s">
        <v>2758</v>
      </c>
      <c r="C5900" s="341" t="s">
        <v>5334</v>
      </c>
    </row>
    <row r="5901" spans="1:3" x14ac:dyDescent="0.2">
      <c r="A5901" s="333">
        <v>39155931000</v>
      </c>
      <c r="B5901" t="s">
        <v>2759</v>
      </c>
      <c r="C5901" s="341" t="s">
        <v>5334</v>
      </c>
    </row>
    <row r="5902" spans="1:3" x14ac:dyDescent="0.2">
      <c r="A5902" s="333">
        <v>39155931100</v>
      </c>
      <c r="B5902" t="s">
        <v>2760</v>
      </c>
      <c r="C5902" s="341" t="s">
        <v>5334</v>
      </c>
    </row>
    <row r="5903" spans="1:3" x14ac:dyDescent="0.2">
      <c r="A5903" s="333">
        <v>39155931200</v>
      </c>
      <c r="B5903" t="s">
        <v>2761</v>
      </c>
      <c r="C5903" s="341" t="s">
        <v>5334</v>
      </c>
    </row>
    <row r="5904" spans="1:3" x14ac:dyDescent="0.2">
      <c r="A5904" s="333">
        <v>39155931300</v>
      </c>
      <c r="B5904" t="s">
        <v>2762</v>
      </c>
      <c r="C5904" s="341" t="s">
        <v>5334</v>
      </c>
    </row>
    <row r="5905" spans="1:3" x14ac:dyDescent="0.2">
      <c r="A5905" s="333">
        <v>39155931400</v>
      </c>
      <c r="B5905" t="s">
        <v>2763</v>
      </c>
      <c r="C5905" s="341" t="s">
        <v>4330</v>
      </c>
    </row>
    <row r="5906" spans="1:3" x14ac:dyDescent="0.2">
      <c r="A5906" s="333">
        <v>39155931500</v>
      </c>
      <c r="B5906" t="s">
        <v>2764</v>
      </c>
      <c r="C5906" s="341" t="s">
        <v>5334</v>
      </c>
    </row>
    <row r="5907" spans="1:3" x14ac:dyDescent="0.2">
      <c r="A5907" s="333">
        <v>39155931601</v>
      </c>
      <c r="B5907" t="s">
        <v>2765</v>
      </c>
      <c r="C5907" s="341" t="s">
        <v>5334</v>
      </c>
    </row>
    <row r="5908" spans="1:3" x14ac:dyDescent="0.2">
      <c r="A5908" s="333">
        <v>39155931602</v>
      </c>
      <c r="B5908" t="s">
        <v>2766</v>
      </c>
      <c r="C5908" s="341" t="s">
        <v>5334</v>
      </c>
    </row>
    <row r="5909" spans="1:3" x14ac:dyDescent="0.2">
      <c r="A5909" s="333">
        <v>39155931700</v>
      </c>
      <c r="B5909" t="s">
        <v>2767</v>
      </c>
      <c r="C5909" s="341" t="s">
        <v>5334</v>
      </c>
    </row>
    <row r="5910" spans="1:3" x14ac:dyDescent="0.2">
      <c r="A5910" s="333">
        <v>39155931900</v>
      </c>
      <c r="B5910" t="s">
        <v>2768</v>
      </c>
      <c r="C5910" s="341" t="s">
        <v>5334</v>
      </c>
    </row>
    <row r="5911" spans="1:3" x14ac:dyDescent="0.2">
      <c r="A5911" s="333">
        <v>39155932000</v>
      </c>
      <c r="B5911" t="s">
        <v>2769</v>
      </c>
      <c r="C5911" s="341" t="s">
        <v>5334</v>
      </c>
    </row>
    <row r="5912" spans="1:3" x14ac:dyDescent="0.2">
      <c r="A5912" s="333">
        <v>39155932200</v>
      </c>
      <c r="B5912" t="s">
        <v>2770</v>
      </c>
      <c r="C5912" s="341" t="s">
        <v>5334</v>
      </c>
    </row>
    <row r="5913" spans="1:3" x14ac:dyDescent="0.2">
      <c r="A5913" s="333">
        <v>39155932300</v>
      </c>
      <c r="B5913" t="s">
        <v>2771</v>
      </c>
      <c r="C5913" s="341" t="s">
        <v>5334</v>
      </c>
    </row>
    <row r="5914" spans="1:3" x14ac:dyDescent="0.2">
      <c r="A5914" s="333">
        <v>39155932500</v>
      </c>
      <c r="B5914" t="s">
        <v>2772</v>
      </c>
      <c r="C5914" s="341" t="s">
        <v>5334</v>
      </c>
    </row>
    <row r="5915" spans="1:3" x14ac:dyDescent="0.2">
      <c r="A5915" s="333">
        <v>39155932600</v>
      </c>
      <c r="B5915" t="s">
        <v>2773</v>
      </c>
      <c r="C5915" s="341" t="s">
        <v>5334</v>
      </c>
    </row>
    <row r="5916" spans="1:3" x14ac:dyDescent="0.2">
      <c r="A5916" s="333">
        <v>39155932701</v>
      </c>
      <c r="B5916" t="s">
        <v>2774</v>
      </c>
      <c r="C5916" s="341" t="s">
        <v>5334</v>
      </c>
    </row>
    <row r="5917" spans="1:3" x14ac:dyDescent="0.2">
      <c r="A5917" s="333">
        <v>39155932702</v>
      </c>
      <c r="B5917" t="s">
        <v>2775</v>
      </c>
      <c r="C5917" s="341" t="s">
        <v>5334</v>
      </c>
    </row>
    <row r="5918" spans="1:3" x14ac:dyDescent="0.2">
      <c r="A5918" s="333">
        <v>39155932801</v>
      </c>
      <c r="B5918" t="s">
        <v>2776</v>
      </c>
      <c r="C5918" s="341" t="s">
        <v>5334</v>
      </c>
    </row>
    <row r="5919" spans="1:3" x14ac:dyDescent="0.2">
      <c r="A5919" s="333">
        <v>39155932802</v>
      </c>
      <c r="B5919" t="s">
        <v>2777</v>
      </c>
      <c r="C5919" s="341" t="s">
        <v>5334</v>
      </c>
    </row>
    <row r="5920" spans="1:3" x14ac:dyDescent="0.2">
      <c r="A5920" s="333">
        <v>39155932900</v>
      </c>
      <c r="B5920" t="s">
        <v>2778</v>
      </c>
      <c r="C5920" s="341" t="s">
        <v>5334</v>
      </c>
    </row>
    <row r="5921" spans="1:3" x14ac:dyDescent="0.2">
      <c r="A5921" s="333">
        <v>39155933001</v>
      </c>
      <c r="B5921" t="s">
        <v>2779</v>
      </c>
      <c r="C5921" s="341" t="s">
        <v>5334</v>
      </c>
    </row>
    <row r="5922" spans="1:3" x14ac:dyDescent="0.2">
      <c r="A5922" s="333">
        <v>39155933002</v>
      </c>
      <c r="B5922" t="s">
        <v>2780</v>
      </c>
      <c r="C5922" s="341" t="s">
        <v>5334</v>
      </c>
    </row>
    <row r="5923" spans="1:3" x14ac:dyDescent="0.2">
      <c r="A5923" s="333">
        <v>39155933100</v>
      </c>
      <c r="B5923" t="s">
        <v>2781</v>
      </c>
      <c r="C5923" s="341" t="s">
        <v>4330</v>
      </c>
    </row>
    <row r="5924" spans="1:3" x14ac:dyDescent="0.2">
      <c r="A5924" s="333">
        <v>39155933301</v>
      </c>
      <c r="B5924" t="s">
        <v>2782</v>
      </c>
      <c r="C5924" s="341" t="s">
        <v>5334</v>
      </c>
    </row>
    <row r="5925" spans="1:3" x14ac:dyDescent="0.2">
      <c r="A5925" s="333">
        <v>39155933302</v>
      </c>
      <c r="B5925" t="s">
        <v>2783</v>
      </c>
      <c r="C5925" s="341" t="s">
        <v>5334</v>
      </c>
    </row>
    <row r="5926" spans="1:3" x14ac:dyDescent="0.2">
      <c r="A5926" s="333">
        <v>39155933400</v>
      </c>
      <c r="B5926" t="s">
        <v>2784</v>
      </c>
      <c r="C5926" s="341" t="s">
        <v>5334</v>
      </c>
    </row>
    <row r="5927" spans="1:3" x14ac:dyDescent="0.2">
      <c r="A5927" s="333">
        <v>39155933500</v>
      </c>
      <c r="B5927" t="s">
        <v>2785</v>
      </c>
      <c r="C5927" s="341" t="s">
        <v>5334</v>
      </c>
    </row>
    <row r="5928" spans="1:3" x14ac:dyDescent="0.2">
      <c r="A5928" s="333">
        <v>39155933600</v>
      </c>
      <c r="B5928" t="s">
        <v>2786</v>
      </c>
      <c r="C5928" s="341" t="s">
        <v>5334</v>
      </c>
    </row>
    <row r="5929" spans="1:3" x14ac:dyDescent="0.2">
      <c r="A5929" s="333">
        <v>39155933700</v>
      </c>
      <c r="B5929" t="s">
        <v>2787</v>
      </c>
      <c r="C5929" s="341" t="s">
        <v>5334</v>
      </c>
    </row>
    <row r="5930" spans="1:3" x14ac:dyDescent="0.2">
      <c r="A5930" s="333">
        <v>39155933800</v>
      </c>
      <c r="B5930" t="s">
        <v>2788</v>
      </c>
      <c r="C5930" s="341" t="s">
        <v>4330</v>
      </c>
    </row>
    <row r="5931" spans="1:3" x14ac:dyDescent="0.2">
      <c r="A5931" s="333">
        <v>39155933900</v>
      </c>
      <c r="B5931" t="s">
        <v>2789</v>
      </c>
      <c r="C5931" s="341" t="s">
        <v>4330</v>
      </c>
    </row>
    <row r="5932" spans="1:3" x14ac:dyDescent="0.2">
      <c r="A5932" s="333">
        <v>39155934000</v>
      </c>
      <c r="B5932" t="s">
        <v>5860</v>
      </c>
      <c r="C5932" s="341" t="s">
        <v>4330</v>
      </c>
    </row>
    <row r="5933" spans="1:3" x14ac:dyDescent="0.2">
      <c r="A5933" s="333">
        <v>39157020100</v>
      </c>
      <c r="B5933" t="s">
        <v>2790</v>
      </c>
      <c r="C5933" s="341" t="s">
        <v>5334</v>
      </c>
    </row>
    <row r="5934" spans="1:3" x14ac:dyDescent="0.2">
      <c r="A5934" s="333">
        <v>39157020200</v>
      </c>
      <c r="B5934" t="s">
        <v>2791</v>
      </c>
      <c r="C5934" s="341" t="s">
        <v>5334</v>
      </c>
    </row>
    <row r="5935" spans="1:3" x14ac:dyDescent="0.2">
      <c r="A5935" s="333">
        <v>39157020300</v>
      </c>
      <c r="B5935" t="s">
        <v>2792</v>
      </c>
      <c r="C5935" s="341" t="s">
        <v>5334</v>
      </c>
    </row>
    <row r="5936" spans="1:3" x14ac:dyDescent="0.2">
      <c r="A5936" s="333">
        <v>39157020400</v>
      </c>
      <c r="B5936" t="s">
        <v>2793</v>
      </c>
      <c r="C5936" s="341" t="s">
        <v>5334</v>
      </c>
    </row>
    <row r="5937" spans="1:3" x14ac:dyDescent="0.2">
      <c r="A5937" s="333">
        <v>39157020500</v>
      </c>
      <c r="B5937" t="s">
        <v>2794</v>
      </c>
      <c r="C5937" s="341" t="s">
        <v>5334</v>
      </c>
    </row>
    <row r="5938" spans="1:3" x14ac:dyDescent="0.2">
      <c r="A5938" s="333">
        <v>39157020600</v>
      </c>
      <c r="B5938" t="s">
        <v>2795</v>
      </c>
      <c r="C5938" s="341" t="s">
        <v>5334</v>
      </c>
    </row>
    <row r="5939" spans="1:3" x14ac:dyDescent="0.2">
      <c r="A5939" s="333">
        <v>39157020700</v>
      </c>
      <c r="B5939" t="s">
        <v>2796</v>
      </c>
      <c r="C5939" s="341" t="s">
        <v>5334</v>
      </c>
    </row>
    <row r="5940" spans="1:3" x14ac:dyDescent="0.2">
      <c r="A5940" s="333">
        <v>39157020801</v>
      </c>
      <c r="B5940" t="s">
        <v>5861</v>
      </c>
      <c r="C5940" s="341" t="s">
        <v>4330</v>
      </c>
    </row>
    <row r="5941" spans="1:3" x14ac:dyDescent="0.2">
      <c r="A5941" s="333">
        <v>39157020802</v>
      </c>
      <c r="B5941" t="s">
        <v>5862</v>
      </c>
      <c r="C5941" s="341" t="s">
        <v>4330</v>
      </c>
    </row>
    <row r="5942" spans="1:3" x14ac:dyDescent="0.2">
      <c r="A5942" s="333">
        <v>39157020900</v>
      </c>
      <c r="B5942" t="s">
        <v>2798</v>
      </c>
      <c r="C5942" s="341" t="s">
        <v>5334</v>
      </c>
    </row>
    <row r="5943" spans="1:3" x14ac:dyDescent="0.2">
      <c r="A5943" s="333">
        <v>39157021000</v>
      </c>
      <c r="B5943" t="s">
        <v>2799</v>
      </c>
      <c r="C5943" s="341" t="s">
        <v>5334</v>
      </c>
    </row>
    <row r="5944" spans="1:3" x14ac:dyDescent="0.2">
      <c r="A5944" s="333">
        <v>39157021100</v>
      </c>
      <c r="B5944" t="s">
        <v>2800</v>
      </c>
      <c r="C5944" s="341" t="s">
        <v>5334</v>
      </c>
    </row>
    <row r="5945" spans="1:3" x14ac:dyDescent="0.2">
      <c r="A5945" s="333">
        <v>39157021200</v>
      </c>
      <c r="B5945" t="s">
        <v>2801</v>
      </c>
      <c r="C5945" s="341" t="s">
        <v>5334</v>
      </c>
    </row>
    <row r="5946" spans="1:3" x14ac:dyDescent="0.2">
      <c r="A5946" s="333">
        <v>39157021300</v>
      </c>
      <c r="B5946" t="s">
        <v>2802</v>
      </c>
      <c r="C5946" s="341" t="s">
        <v>5334</v>
      </c>
    </row>
    <row r="5947" spans="1:3" x14ac:dyDescent="0.2">
      <c r="A5947" s="333">
        <v>39157021400</v>
      </c>
      <c r="B5947" t="s">
        <v>2803</v>
      </c>
      <c r="C5947" s="341" t="s">
        <v>5334</v>
      </c>
    </row>
    <row r="5948" spans="1:3" x14ac:dyDescent="0.2">
      <c r="A5948" s="333">
        <v>39157021501</v>
      </c>
      <c r="B5948" t="s">
        <v>5863</v>
      </c>
      <c r="C5948" s="341" t="s">
        <v>5334</v>
      </c>
    </row>
    <row r="5949" spans="1:3" x14ac:dyDescent="0.2">
      <c r="A5949" s="333">
        <v>39157021502</v>
      </c>
      <c r="B5949" t="s">
        <v>5864</v>
      </c>
      <c r="C5949" s="341" t="s">
        <v>5334</v>
      </c>
    </row>
    <row r="5950" spans="1:3" x14ac:dyDescent="0.2">
      <c r="A5950" s="333">
        <v>39157021503</v>
      </c>
      <c r="B5950" t="s">
        <v>5865</v>
      </c>
      <c r="C5950" s="341" t="s">
        <v>5334</v>
      </c>
    </row>
    <row r="5951" spans="1:3" x14ac:dyDescent="0.2">
      <c r="A5951" s="333">
        <v>39157021600</v>
      </c>
      <c r="B5951" t="s">
        <v>2805</v>
      </c>
      <c r="C5951" s="341" t="s">
        <v>5334</v>
      </c>
    </row>
    <row r="5952" spans="1:3" x14ac:dyDescent="0.2">
      <c r="A5952" s="333">
        <v>39157021700</v>
      </c>
      <c r="B5952" t="s">
        <v>2806</v>
      </c>
      <c r="C5952" s="341" t="s">
        <v>5334</v>
      </c>
    </row>
    <row r="5953" spans="1:3" x14ac:dyDescent="0.2">
      <c r="A5953" s="333">
        <v>39157021800</v>
      </c>
      <c r="B5953" t="s">
        <v>2807</v>
      </c>
      <c r="C5953" s="341" t="s">
        <v>5334</v>
      </c>
    </row>
    <row r="5954" spans="1:3" x14ac:dyDescent="0.2">
      <c r="A5954" s="333">
        <v>39157021900</v>
      </c>
      <c r="B5954" t="s">
        <v>2808</v>
      </c>
      <c r="C5954" s="341" t="s">
        <v>5334</v>
      </c>
    </row>
    <row r="5955" spans="1:3" x14ac:dyDescent="0.2">
      <c r="A5955" s="333">
        <v>39157022001</v>
      </c>
      <c r="B5955" t="s">
        <v>2809</v>
      </c>
      <c r="C5955" s="341" t="s">
        <v>5334</v>
      </c>
    </row>
    <row r="5956" spans="1:3" x14ac:dyDescent="0.2">
      <c r="A5956" s="333">
        <v>39157022002</v>
      </c>
      <c r="B5956" t="s">
        <v>2810</v>
      </c>
      <c r="C5956" s="341" t="s">
        <v>5334</v>
      </c>
    </row>
    <row r="5957" spans="1:3" x14ac:dyDescent="0.2">
      <c r="A5957" s="333">
        <v>39159050100</v>
      </c>
      <c r="B5957" t="s">
        <v>2811</v>
      </c>
      <c r="C5957" s="341" t="s">
        <v>5334</v>
      </c>
    </row>
    <row r="5958" spans="1:3" x14ac:dyDescent="0.2">
      <c r="A5958" s="333">
        <v>39159050200</v>
      </c>
      <c r="B5958" t="s">
        <v>2812</v>
      </c>
      <c r="C5958" s="341" t="s">
        <v>5334</v>
      </c>
    </row>
    <row r="5959" spans="1:3" x14ac:dyDescent="0.2">
      <c r="A5959" s="333">
        <v>39159050301</v>
      </c>
      <c r="B5959" t="s">
        <v>2813</v>
      </c>
      <c r="C5959" s="341" t="s">
        <v>5334</v>
      </c>
    </row>
    <row r="5960" spans="1:3" x14ac:dyDescent="0.2">
      <c r="A5960" s="333">
        <v>39159050303</v>
      </c>
      <c r="B5960" t="s">
        <v>2814</v>
      </c>
      <c r="C5960" s="341" t="s">
        <v>5334</v>
      </c>
    </row>
    <row r="5961" spans="1:3" x14ac:dyDescent="0.2">
      <c r="A5961" s="333">
        <v>39159050304</v>
      </c>
      <c r="B5961" t="s">
        <v>2815</v>
      </c>
      <c r="C5961" s="341" t="s">
        <v>5334</v>
      </c>
    </row>
    <row r="5962" spans="1:3" x14ac:dyDescent="0.2">
      <c r="A5962" s="333">
        <v>39159050401</v>
      </c>
      <c r="B5962" t="s">
        <v>5866</v>
      </c>
      <c r="C5962" s="341" t="s">
        <v>5334</v>
      </c>
    </row>
    <row r="5963" spans="1:3" x14ac:dyDescent="0.2">
      <c r="A5963" s="333">
        <v>39159050402</v>
      </c>
      <c r="B5963" t="s">
        <v>5867</v>
      </c>
      <c r="C5963" s="341" t="s">
        <v>5334</v>
      </c>
    </row>
    <row r="5964" spans="1:3" x14ac:dyDescent="0.2">
      <c r="A5964" s="333">
        <v>39159050501</v>
      </c>
      <c r="B5964" t="s">
        <v>5868</v>
      </c>
      <c r="C5964" s="341" t="s">
        <v>5334</v>
      </c>
    </row>
    <row r="5965" spans="1:3" x14ac:dyDescent="0.2">
      <c r="A5965" s="333">
        <v>39159050502</v>
      </c>
      <c r="B5965" t="s">
        <v>5869</v>
      </c>
      <c r="C5965" s="341" t="s">
        <v>5334</v>
      </c>
    </row>
    <row r="5966" spans="1:3" x14ac:dyDescent="0.2">
      <c r="A5966" s="333">
        <v>39159050601</v>
      </c>
      <c r="B5966" t="s">
        <v>2818</v>
      </c>
      <c r="C5966" s="341" t="s">
        <v>5334</v>
      </c>
    </row>
    <row r="5967" spans="1:3" x14ac:dyDescent="0.2">
      <c r="A5967" s="333">
        <v>39159050602</v>
      </c>
      <c r="B5967" t="s">
        <v>2819</v>
      </c>
      <c r="C5967" s="341" t="s">
        <v>5334</v>
      </c>
    </row>
    <row r="5968" spans="1:3" x14ac:dyDescent="0.2">
      <c r="A5968" s="333">
        <v>39159050701</v>
      </c>
      <c r="B5968" t="s">
        <v>5870</v>
      </c>
      <c r="C5968" s="341" t="s">
        <v>5334</v>
      </c>
    </row>
    <row r="5969" spans="1:3" x14ac:dyDescent="0.2">
      <c r="A5969" s="333">
        <v>39159050702</v>
      </c>
      <c r="B5969" t="s">
        <v>5871</v>
      </c>
      <c r="C5969" s="341" t="s">
        <v>5334</v>
      </c>
    </row>
    <row r="5970" spans="1:3" x14ac:dyDescent="0.2">
      <c r="A5970" s="333">
        <v>39161020100</v>
      </c>
      <c r="B5970" t="s">
        <v>2821</v>
      </c>
      <c r="C5970" s="341" t="s">
        <v>5334</v>
      </c>
    </row>
    <row r="5971" spans="1:3" x14ac:dyDescent="0.2">
      <c r="A5971" s="333">
        <v>39161020200</v>
      </c>
      <c r="B5971" t="s">
        <v>2822</v>
      </c>
      <c r="C5971" s="341" t="s">
        <v>5334</v>
      </c>
    </row>
    <row r="5972" spans="1:3" x14ac:dyDescent="0.2">
      <c r="A5972" s="333">
        <v>39161020300</v>
      </c>
      <c r="B5972" t="s">
        <v>2823</v>
      </c>
      <c r="C5972" s="341" t="s">
        <v>5334</v>
      </c>
    </row>
    <row r="5973" spans="1:3" x14ac:dyDescent="0.2">
      <c r="A5973" s="333">
        <v>39161020400</v>
      </c>
      <c r="B5973" t="s">
        <v>2824</v>
      </c>
      <c r="C5973" s="341" t="s">
        <v>5334</v>
      </c>
    </row>
    <row r="5974" spans="1:3" x14ac:dyDescent="0.2">
      <c r="A5974" s="333">
        <v>39161020500</v>
      </c>
      <c r="B5974" t="s">
        <v>2825</v>
      </c>
      <c r="C5974" s="341" t="s">
        <v>5334</v>
      </c>
    </row>
    <row r="5975" spans="1:3" x14ac:dyDescent="0.2">
      <c r="A5975" s="333">
        <v>39161020600</v>
      </c>
      <c r="B5975" t="s">
        <v>2826</v>
      </c>
      <c r="C5975" s="341" t="s">
        <v>4330</v>
      </c>
    </row>
    <row r="5976" spans="1:3" x14ac:dyDescent="0.2">
      <c r="A5976" s="333">
        <v>39161020700</v>
      </c>
      <c r="B5976" t="s">
        <v>2827</v>
      </c>
      <c r="C5976" s="341" t="s">
        <v>5334</v>
      </c>
    </row>
    <row r="5977" spans="1:3" x14ac:dyDescent="0.2">
      <c r="A5977" s="333">
        <v>39161020800</v>
      </c>
      <c r="B5977" t="s">
        <v>2828</v>
      </c>
      <c r="C5977" s="341" t="s">
        <v>5334</v>
      </c>
    </row>
    <row r="5978" spans="1:3" x14ac:dyDescent="0.2">
      <c r="A5978" s="333">
        <v>39161020900</v>
      </c>
      <c r="B5978" t="s">
        <v>2829</v>
      </c>
      <c r="C5978" s="341" t="s">
        <v>5334</v>
      </c>
    </row>
    <row r="5979" spans="1:3" x14ac:dyDescent="0.2">
      <c r="A5979" s="333">
        <v>39163953000</v>
      </c>
      <c r="B5979" t="s">
        <v>2830</v>
      </c>
      <c r="C5979" s="341" t="s">
        <v>5334</v>
      </c>
    </row>
    <row r="5980" spans="1:3" x14ac:dyDescent="0.2">
      <c r="A5980" s="333">
        <v>39163953100</v>
      </c>
      <c r="B5980" t="s">
        <v>2831</v>
      </c>
      <c r="C5980" s="341" t="s">
        <v>5334</v>
      </c>
    </row>
    <row r="5981" spans="1:3" x14ac:dyDescent="0.2">
      <c r="A5981" s="333">
        <v>39163953200</v>
      </c>
      <c r="B5981" t="s">
        <v>2832</v>
      </c>
      <c r="C5981" s="341" t="s">
        <v>5334</v>
      </c>
    </row>
    <row r="5982" spans="1:3" x14ac:dyDescent="0.2">
      <c r="A5982" s="333">
        <v>39165030101</v>
      </c>
      <c r="B5982" t="s">
        <v>2833</v>
      </c>
      <c r="C5982" s="341" t="s">
        <v>5334</v>
      </c>
    </row>
    <row r="5983" spans="1:3" x14ac:dyDescent="0.2">
      <c r="A5983" s="333">
        <v>39165030102</v>
      </c>
      <c r="B5983" t="s">
        <v>2834</v>
      </c>
      <c r="C5983" s="341" t="s">
        <v>5334</v>
      </c>
    </row>
    <row r="5984" spans="1:3" x14ac:dyDescent="0.2">
      <c r="A5984" s="333">
        <v>39165030200</v>
      </c>
      <c r="B5984" t="s">
        <v>2835</v>
      </c>
      <c r="C5984" s="341" t="s">
        <v>5334</v>
      </c>
    </row>
    <row r="5985" spans="1:3" x14ac:dyDescent="0.2">
      <c r="A5985" s="333">
        <v>39165030501</v>
      </c>
      <c r="B5985" t="s">
        <v>2836</v>
      </c>
      <c r="C5985" s="341" t="s">
        <v>5334</v>
      </c>
    </row>
    <row r="5986" spans="1:3" x14ac:dyDescent="0.2">
      <c r="A5986" s="333">
        <v>39165030503</v>
      </c>
      <c r="B5986" t="s">
        <v>2837</v>
      </c>
      <c r="C5986" s="341" t="s">
        <v>5334</v>
      </c>
    </row>
    <row r="5987" spans="1:3" x14ac:dyDescent="0.2">
      <c r="A5987" s="333">
        <v>39165030504</v>
      </c>
      <c r="B5987" t="s">
        <v>2838</v>
      </c>
      <c r="C5987" s="341" t="s">
        <v>5334</v>
      </c>
    </row>
    <row r="5988" spans="1:3" x14ac:dyDescent="0.2">
      <c r="A5988" s="333">
        <v>39165030600</v>
      </c>
      <c r="B5988" t="s">
        <v>2839</v>
      </c>
      <c r="C5988" s="341" t="s">
        <v>5334</v>
      </c>
    </row>
    <row r="5989" spans="1:3" x14ac:dyDescent="0.2">
      <c r="A5989" s="333">
        <v>39165030700</v>
      </c>
      <c r="B5989" t="s">
        <v>2840</v>
      </c>
      <c r="C5989" s="341" t="s">
        <v>5334</v>
      </c>
    </row>
    <row r="5990" spans="1:3" x14ac:dyDescent="0.2">
      <c r="A5990" s="333">
        <v>39165030800</v>
      </c>
      <c r="B5990" t="s">
        <v>2841</v>
      </c>
      <c r="C5990" s="341" t="s">
        <v>5334</v>
      </c>
    </row>
    <row r="5991" spans="1:3" x14ac:dyDescent="0.2">
      <c r="A5991" s="333">
        <v>39165030901</v>
      </c>
      <c r="B5991" t="s">
        <v>5872</v>
      </c>
      <c r="C5991" s="341" t="s">
        <v>5334</v>
      </c>
    </row>
    <row r="5992" spans="1:3" x14ac:dyDescent="0.2">
      <c r="A5992" s="333">
        <v>39165030902</v>
      </c>
      <c r="B5992" t="s">
        <v>5873</v>
      </c>
      <c r="C5992" s="341" t="s">
        <v>5334</v>
      </c>
    </row>
    <row r="5993" spans="1:3" x14ac:dyDescent="0.2">
      <c r="A5993" s="333">
        <v>39165031001</v>
      </c>
      <c r="B5993" t="s">
        <v>5874</v>
      </c>
      <c r="C5993" s="341" t="s">
        <v>5334</v>
      </c>
    </row>
    <row r="5994" spans="1:3" x14ac:dyDescent="0.2">
      <c r="A5994" s="333">
        <v>39165031002</v>
      </c>
      <c r="B5994" t="s">
        <v>5875</v>
      </c>
      <c r="C5994" s="341" t="s">
        <v>5334</v>
      </c>
    </row>
    <row r="5995" spans="1:3" x14ac:dyDescent="0.2">
      <c r="A5995" s="333">
        <v>39165031100</v>
      </c>
      <c r="B5995" t="s">
        <v>2844</v>
      </c>
      <c r="C5995" s="341" t="s">
        <v>5334</v>
      </c>
    </row>
    <row r="5996" spans="1:3" x14ac:dyDescent="0.2">
      <c r="A5996" s="333">
        <v>39165031200</v>
      </c>
      <c r="B5996" t="s">
        <v>2845</v>
      </c>
      <c r="C5996" s="341" t="s">
        <v>5334</v>
      </c>
    </row>
    <row r="5997" spans="1:3" x14ac:dyDescent="0.2">
      <c r="A5997" s="333">
        <v>39165031300</v>
      </c>
      <c r="B5997" t="s">
        <v>2846</v>
      </c>
      <c r="C5997" s="341" t="s">
        <v>5334</v>
      </c>
    </row>
    <row r="5998" spans="1:3" x14ac:dyDescent="0.2">
      <c r="A5998" s="333">
        <v>39165031400</v>
      </c>
      <c r="B5998" t="s">
        <v>2847</v>
      </c>
      <c r="C5998" s="341" t="s">
        <v>5334</v>
      </c>
    </row>
    <row r="5999" spans="1:3" x14ac:dyDescent="0.2">
      <c r="A5999" s="333">
        <v>39165031500</v>
      </c>
      <c r="B5999" t="s">
        <v>2848</v>
      </c>
      <c r="C5999" s="341" t="s">
        <v>5334</v>
      </c>
    </row>
    <row r="6000" spans="1:3" x14ac:dyDescent="0.2">
      <c r="A6000" s="333">
        <v>39165031601</v>
      </c>
      <c r="B6000" t="s">
        <v>5876</v>
      </c>
      <c r="C6000" s="341" t="s">
        <v>5334</v>
      </c>
    </row>
    <row r="6001" spans="1:3" x14ac:dyDescent="0.2">
      <c r="A6001" s="333">
        <v>39165031602</v>
      </c>
      <c r="B6001" t="s">
        <v>5877</v>
      </c>
      <c r="C6001" s="341" t="s">
        <v>5334</v>
      </c>
    </row>
    <row r="6002" spans="1:3" x14ac:dyDescent="0.2">
      <c r="A6002" s="333">
        <v>39165031603</v>
      </c>
      <c r="B6002" t="s">
        <v>5878</v>
      </c>
      <c r="C6002" s="341" t="s">
        <v>5334</v>
      </c>
    </row>
    <row r="6003" spans="1:3" x14ac:dyDescent="0.2">
      <c r="A6003" s="333">
        <v>39165031700</v>
      </c>
      <c r="B6003" t="s">
        <v>2850</v>
      </c>
      <c r="C6003" s="341" t="s">
        <v>5334</v>
      </c>
    </row>
    <row r="6004" spans="1:3" x14ac:dyDescent="0.2">
      <c r="A6004" s="333">
        <v>39165031904</v>
      </c>
      <c r="B6004" t="s">
        <v>2853</v>
      </c>
      <c r="C6004" s="341" t="s">
        <v>5334</v>
      </c>
    </row>
    <row r="6005" spans="1:3" x14ac:dyDescent="0.2">
      <c r="A6005" s="333">
        <v>39165031905</v>
      </c>
      <c r="B6005" t="s">
        <v>5879</v>
      </c>
      <c r="C6005" s="341" t="s">
        <v>5334</v>
      </c>
    </row>
    <row r="6006" spans="1:3" x14ac:dyDescent="0.2">
      <c r="A6006" s="333">
        <v>39165031906</v>
      </c>
      <c r="B6006" t="s">
        <v>5880</v>
      </c>
      <c r="C6006" s="341" t="s">
        <v>5334</v>
      </c>
    </row>
    <row r="6007" spans="1:3" x14ac:dyDescent="0.2">
      <c r="A6007" s="333">
        <v>39165031907</v>
      </c>
      <c r="B6007" t="s">
        <v>5881</v>
      </c>
      <c r="C6007" s="341" t="s">
        <v>5334</v>
      </c>
    </row>
    <row r="6008" spans="1:3" x14ac:dyDescent="0.2">
      <c r="A6008" s="333">
        <v>39165031908</v>
      </c>
      <c r="B6008" t="s">
        <v>5882</v>
      </c>
      <c r="C6008" s="341" t="s">
        <v>5334</v>
      </c>
    </row>
    <row r="6009" spans="1:3" x14ac:dyDescent="0.2">
      <c r="A6009" s="333">
        <v>39165032003</v>
      </c>
      <c r="B6009" t="s">
        <v>2854</v>
      </c>
      <c r="C6009" s="341" t="s">
        <v>5334</v>
      </c>
    </row>
    <row r="6010" spans="1:3" x14ac:dyDescent="0.2">
      <c r="A6010" s="333">
        <v>39165032004</v>
      </c>
      <c r="B6010" t="s">
        <v>2855</v>
      </c>
      <c r="C6010" s="341" t="s">
        <v>5334</v>
      </c>
    </row>
    <row r="6011" spans="1:3" x14ac:dyDescent="0.2">
      <c r="A6011" s="333">
        <v>39165032006</v>
      </c>
      <c r="B6011" t="s">
        <v>2857</v>
      </c>
      <c r="C6011" s="341" t="s">
        <v>5334</v>
      </c>
    </row>
    <row r="6012" spans="1:3" x14ac:dyDescent="0.2">
      <c r="A6012" s="333">
        <v>39165032008</v>
      </c>
      <c r="B6012" t="s">
        <v>5883</v>
      </c>
      <c r="C6012" s="341" t="s">
        <v>5334</v>
      </c>
    </row>
    <row r="6013" spans="1:3" x14ac:dyDescent="0.2">
      <c r="A6013" s="333">
        <v>39165032009</v>
      </c>
      <c r="B6013" t="s">
        <v>5884</v>
      </c>
      <c r="C6013" s="341" t="s">
        <v>5334</v>
      </c>
    </row>
    <row r="6014" spans="1:3" x14ac:dyDescent="0.2">
      <c r="A6014" s="333">
        <v>39165032010</v>
      </c>
      <c r="B6014" t="s">
        <v>5885</v>
      </c>
      <c r="C6014" s="341" t="s">
        <v>5334</v>
      </c>
    </row>
    <row r="6015" spans="1:3" x14ac:dyDescent="0.2">
      <c r="A6015" s="333">
        <v>39165032011</v>
      </c>
      <c r="B6015" t="s">
        <v>5886</v>
      </c>
      <c r="C6015" s="341" t="s">
        <v>5334</v>
      </c>
    </row>
    <row r="6016" spans="1:3" x14ac:dyDescent="0.2">
      <c r="A6016" s="333">
        <v>39165032100</v>
      </c>
      <c r="B6016" t="s">
        <v>2859</v>
      </c>
      <c r="C6016" s="341" t="s">
        <v>5334</v>
      </c>
    </row>
    <row r="6017" spans="1:3" x14ac:dyDescent="0.2">
      <c r="A6017" s="333">
        <v>39165032202</v>
      </c>
      <c r="B6017" t="s">
        <v>2861</v>
      </c>
      <c r="C6017" s="341" t="s">
        <v>5334</v>
      </c>
    </row>
    <row r="6018" spans="1:3" x14ac:dyDescent="0.2">
      <c r="A6018" s="333">
        <v>39165032203</v>
      </c>
      <c r="B6018" t="s">
        <v>5887</v>
      </c>
      <c r="C6018" s="341" t="s">
        <v>5334</v>
      </c>
    </row>
    <row r="6019" spans="1:3" x14ac:dyDescent="0.2">
      <c r="A6019" s="333">
        <v>39165032204</v>
      </c>
      <c r="B6019" t="s">
        <v>5888</v>
      </c>
      <c r="C6019" s="341" t="s">
        <v>5334</v>
      </c>
    </row>
    <row r="6020" spans="1:3" x14ac:dyDescent="0.2">
      <c r="A6020" s="333">
        <v>39165032205</v>
      </c>
      <c r="B6020" t="s">
        <v>5889</v>
      </c>
      <c r="C6020" s="341" t="s">
        <v>5334</v>
      </c>
    </row>
    <row r="6021" spans="1:3" x14ac:dyDescent="0.2">
      <c r="A6021" s="333">
        <v>39165032206</v>
      </c>
      <c r="B6021" t="s">
        <v>5890</v>
      </c>
      <c r="C6021" s="341" t="s">
        <v>5334</v>
      </c>
    </row>
    <row r="6022" spans="1:3" x14ac:dyDescent="0.2">
      <c r="A6022" s="333">
        <v>39165032300</v>
      </c>
      <c r="B6022" t="s">
        <v>2862</v>
      </c>
      <c r="C6022" s="341" t="s">
        <v>5334</v>
      </c>
    </row>
    <row r="6023" spans="1:3" x14ac:dyDescent="0.2">
      <c r="A6023" s="333">
        <v>39165032400</v>
      </c>
      <c r="B6023" t="s">
        <v>2863</v>
      </c>
      <c r="C6023" s="341" t="s">
        <v>5334</v>
      </c>
    </row>
    <row r="6024" spans="1:3" x14ac:dyDescent="0.2">
      <c r="A6024" s="333">
        <v>39165032501</v>
      </c>
      <c r="B6024" t="s">
        <v>2864</v>
      </c>
      <c r="C6024" s="341" t="s">
        <v>5334</v>
      </c>
    </row>
    <row r="6025" spans="1:3" x14ac:dyDescent="0.2">
      <c r="A6025" s="333">
        <v>39165032502</v>
      </c>
      <c r="B6025" t="s">
        <v>2865</v>
      </c>
      <c r="C6025" s="341" t="s">
        <v>4330</v>
      </c>
    </row>
    <row r="6026" spans="1:3" x14ac:dyDescent="0.2">
      <c r="A6026" s="333">
        <v>39167020101</v>
      </c>
      <c r="B6026" t="s">
        <v>2866</v>
      </c>
      <c r="C6026" s="341" t="s">
        <v>5334</v>
      </c>
    </row>
    <row r="6027" spans="1:3" x14ac:dyDescent="0.2">
      <c r="A6027" s="333">
        <v>39167020102</v>
      </c>
      <c r="B6027" t="s">
        <v>2867</v>
      </c>
      <c r="C6027" s="341" t="s">
        <v>5334</v>
      </c>
    </row>
    <row r="6028" spans="1:3" x14ac:dyDescent="0.2">
      <c r="A6028" s="333">
        <v>39167020201</v>
      </c>
      <c r="B6028" t="s">
        <v>5891</v>
      </c>
      <c r="C6028" s="341" t="s">
        <v>5334</v>
      </c>
    </row>
    <row r="6029" spans="1:3" x14ac:dyDescent="0.2">
      <c r="A6029" s="333">
        <v>39167020202</v>
      </c>
      <c r="B6029" t="s">
        <v>5892</v>
      </c>
      <c r="C6029" s="341" t="s">
        <v>5334</v>
      </c>
    </row>
    <row r="6030" spans="1:3" x14ac:dyDescent="0.2">
      <c r="A6030" s="333">
        <v>39167020300</v>
      </c>
      <c r="B6030" t="s">
        <v>2869</v>
      </c>
      <c r="C6030" s="341" t="s">
        <v>5334</v>
      </c>
    </row>
    <row r="6031" spans="1:3" x14ac:dyDescent="0.2">
      <c r="A6031" s="333">
        <v>39167020400</v>
      </c>
      <c r="B6031" t="s">
        <v>2870</v>
      </c>
      <c r="C6031" s="341" t="s">
        <v>5334</v>
      </c>
    </row>
    <row r="6032" spans="1:3" x14ac:dyDescent="0.2">
      <c r="A6032" s="333">
        <v>39167020500</v>
      </c>
      <c r="B6032" t="s">
        <v>2871</v>
      </c>
      <c r="C6032" s="341" t="s">
        <v>4330</v>
      </c>
    </row>
    <row r="6033" spans="1:3" x14ac:dyDescent="0.2">
      <c r="A6033" s="333">
        <v>39167020800</v>
      </c>
      <c r="B6033" t="s">
        <v>2872</v>
      </c>
      <c r="C6033" s="341" t="s">
        <v>5334</v>
      </c>
    </row>
    <row r="6034" spans="1:3" x14ac:dyDescent="0.2">
      <c r="A6034" s="333">
        <v>39167020900</v>
      </c>
      <c r="B6034" t="s">
        <v>2873</v>
      </c>
      <c r="C6034" s="341" t="s">
        <v>4330</v>
      </c>
    </row>
    <row r="6035" spans="1:3" x14ac:dyDescent="0.2">
      <c r="A6035" s="333">
        <v>39167021000</v>
      </c>
      <c r="B6035" t="s">
        <v>2874</v>
      </c>
      <c r="C6035" s="341" t="s">
        <v>4330</v>
      </c>
    </row>
    <row r="6036" spans="1:3" x14ac:dyDescent="0.2">
      <c r="A6036" s="333">
        <v>39167021100</v>
      </c>
      <c r="B6036" t="s">
        <v>2875</v>
      </c>
      <c r="C6036" s="341" t="s">
        <v>5334</v>
      </c>
    </row>
    <row r="6037" spans="1:3" x14ac:dyDescent="0.2">
      <c r="A6037" s="333">
        <v>39167021201</v>
      </c>
      <c r="B6037" t="s">
        <v>5893</v>
      </c>
      <c r="C6037" s="341" t="s">
        <v>5334</v>
      </c>
    </row>
    <row r="6038" spans="1:3" x14ac:dyDescent="0.2">
      <c r="A6038" s="333">
        <v>39167021202</v>
      </c>
      <c r="B6038" t="s">
        <v>5894</v>
      </c>
      <c r="C6038" s="341" t="s">
        <v>5334</v>
      </c>
    </row>
    <row r="6039" spans="1:3" x14ac:dyDescent="0.2">
      <c r="A6039" s="333">
        <v>39167021300</v>
      </c>
      <c r="B6039" t="s">
        <v>2877</v>
      </c>
      <c r="C6039" s="341" t="s">
        <v>5334</v>
      </c>
    </row>
    <row r="6040" spans="1:3" x14ac:dyDescent="0.2">
      <c r="A6040" s="333">
        <v>39167021400</v>
      </c>
      <c r="B6040" t="s">
        <v>2878</v>
      </c>
      <c r="C6040" s="341" t="s">
        <v>5334</v>
      </c>
    </row>
    <row r="6041" spans="1:3" x14ac:dyDescent="0.2">
      <c r="A6041" s="333">
        <v>39167021500</v>
      </c>
      <c r="B6041" t="s">
        <v>2879</v>
      </c>
      <c r="C6041" s="341" t="s">
        <v>5334</v>
      </c>
    </row>
    <row r="6042" spans="1:3" x14ac:dyDescent="0.2">
      <c r="A6042" s="333">
        <v>39167021600</v>
      </c>
      <c r="B6042" t="s">
        <v>2880</v>
      </c>
      <c r="C6042" s="341" t="s">
        <v>5334</v>
      </c>
    </row>
    <row r="6043" spans="1:3" x14ac:dyDescent="0.2">
      <c r="A6043" s="333">
        <v>39167021700</v>
      </c>
      <c r="B6043" t="s">
        <v>2881</v>
      </c>
      <c r="C6043" s="341" t="s">
        <v>5334</v>
      </c>
    </row>
    <row r="6044" spans="1:3" x14ac:dyDescent="0.2">
      <c r="A6044" s="333">
        <v>39169000100</v>
      </c>
      <c r="B6044" t="s">
        <v>2882</v>
      </c>
      <c r="C6044" s="341" t="s">
        <v>4330</v>
      </c>
    </row>
    <row r="6045" spans="1:3" x14ac:dyDescent="0.2">
      <c r="A6045" s="333">
        <v>39169000200</v>
      </c>
      <c r="B6045" t="s">
        <v>2883</v>
      </c>
      <c r="C6045" s="341" t="s">
        <v>5334</v>
      </c>
    </row>
    <row r="6046" spans="1:3" x14ac:dyDescent="0.2">
      <c r="A6046" s="333">
        <v>39169000300</v>
      </c>
      <c r="B6046" t="s">
        <v>2884</v>
      </c>
      <c r="C6046" s="341" t="s">
        <v>5334</v>
      </c>
    </row>
    <row r="6047" spans="1:3" x14ac:dyDescent="0.2">
      <c r="A6047" s="333">
        <v>39169000500</v>
      </c>
      <c r="B6047" t="s">
        <v>2885</v>
      </c>
      <c r="C6047" s="341" t="s">
        <v>4330</v>
      </c>
    </row>
    <row r="6048" spans="1:3" x14ac:dyDescent="0.2">
      <c r="A6048" s="333">
        <v>39169000600</v>
      </c>
      <c r="B6048" t="s">
        <v>2886</v>
      </c>
      <c r="C6048" s="341" t="s">
        <v>5334</v>
      </c>
    </row>
    <row r="6049" spans="1:3" x14ac:dyDescent="0.2">
      <c r="A6049" s="333">
        <v>39169000700</v>
      </c>
      <c r="B6049" t="s">
        <v>2887</v>
      </c>
      <c r="C6049" s="341" t="s">
        <v>5334</v>
      </c>
    </row>
    <row r="6050" spans="1:3" x14ac:dyDescent="0.2">
      <c r="A6050" s="333">
        <v>39169000800</v>
      </c>
      <c r="B6050" t="s">
        <v>2888</v>
      </c>
      <c r="C6050" s="341" t="s">
        <v>5334</v>
      </c>
    </row>
    <row r="6051" spans="1:3" x14ac:dyDescent="0.2">
      <c r="A6051" s="333">
        <v>39169000900</v>
      </c>
      <c r="B6051" t="s">
        <v>2889</v>
      </c>
      <c r="C6051" s="341" t="s">
        <v>5334</v>
      </c>
    </row>
    <row r="6052" spans="1:3" x14ac:dyDescent="0.2">
      <c r="A6052" s="333">
        <v>39169001000</v>
      </c>
      <c r="B6052" t="s">
        <v>2890</v>
      </c>
      <c r="C6052" s="341" t="s">
        <v>5334</v>
      </c>
    </row>
    <row r="6053" spans="1:3" x14ac:dyDescent="0.2">
      <c r="A6053" s="333">
        <v>39169001100</v>
      </c>
      <c r="B6053" t="s">
        <v>2891</v>
      </c>
      <c r="C6053" s="341" t="s">
        <v>5334</v>
      </c>
    </row>
    <row r="6054" spans="1:3" x14ac:dyDescent="0.2">
      <c r="A6054" s="333">
        <v>39169001200</v>
      </c>
      <c r="B6054" t="s">
        <v>2892</v>
      </c>
      <c r="C6054" s="341" t="s">
        <v>4330</v>
      </c>
    </row>
    <row r="6055" spans="1:3" x14ac:dyDescent="0.2">
      <c r="A6055" s="333">
        <v>39169001300</v>
      </c>
      <c r="B6055" t="s">
        <v>2893</v>
      </c>
      <c r="C6055" s="341" t="s">
        <v>5334</v>
      </c>
    </row>
    <row r="6056" spans="1:3" x14ac:dyDescent="0.2">
      <c r="A6056" s="333">
        <v>39169001400</v>
      </c>
      <c r="B6056" t="s">
        <v>2894</v>
      </c>
      <c r="C6056" s="341" t="s">
        <v>5334</v>
      </c>
    </row>
    <row r="6057" spans="1:3" x14ac:dyDescent="0.2">
      <c r="A6057" s="333">
        <v>39169001700</v>
      </c>
      <c r="B6057" t="s">
        <v>2895</v>
      </c>
      <c r="C6057" s="341" t="s">
        <v>5334</v>
      </c>
    </row>
    <row r="6058" spans="1:3" x14ac:dyDescent="0.2">
      <c r="A6058" s="333">
        <v>39169001800</v>
      </c>
      <c r="B6058" t="s">
        <v>2896</v>
      </c>
      <c r="C6058" s="341" t="s">
        <v>5334</v>
      </c>
    </row>
    <row r="6059" spans="1:3" x14ac:dyDescent="0.2">
      <c r="A6059" s="333">
        <v>39169001900</v>
      </c>
      <c r="B6059" t="s">
        <v>2897</v>
      </c>
      <c r="C6059" s="341" t="s">
        <v>5334</v>
      </c>
    </row>
    <row r="6060" spans="1:3" x14ac:dyDescent="0.2">
      <c r="A6060" s="333">
        <v>39169002000</v>
      </c>
      <c r="B6060" t="s">
        <v>2898</v>
      </c>
      <c r="C6060" s="341" t="s">
        <v>5334</v>
      </c>
    </row>
    <row r="6061" spans="1:3" x14ac:dyDescent="0.2">
      <c r="A6061" s="333">
        <v>39169002100</v>
      </c>
      <c r="B6061" t="s">
        <v>2899</v>
      </c>
      <c r="C6061" s="341" t="s">
        <v>5334</v>
      </c>
    </row>
    <row r="6062" spans="1:3" x14ac:dyDescent="0.2">
      <c r="A6062" s="333">
        <v>39169002200</v>
      </c>
      <c r="B6062" t="s">
        <v>2900</v>
      </c>
      <c r="C6062" s="341" t="s">
        <v>5334</v>
      </c>
    </row>
    <row r="6063" spans="1:3" x14ac:dyDescent="0.2">
      <c r="A6063" s="333">
        <v>39169002300</v>
      </c>
      <c r="B6063" t="s">
        <v>2901</v>
      </c>
      <c r="C6063" s="341" t="s">
        <v>5334</v>
      </c>
    </row>
    <row r="6064" spans="1:3" x14ac:dyDescent="0.2">
      <c r="A6064" s="333">
        <v>39169002400</v>
      </c>
      <c r="B6064" t="s">
        <v>2902</v>
      </c>
      <c r="C6064" s="341" t="s">
        <v>5334</v>
      </c>
    </row>
    <row r="6065" spans="1:3" x14ac:dyDescent="0.2">
      <c r="A6065" s="333">
        <v>39169002500</v>
      </c>
      <c r="B6065" t="s">
        <v>2903</v>
      </c>
      <c r="C6065" s="341" t="s">
        <v>5334</v>
      </c>
    </row>
    <row r="6066" spans="1:3" x14ac:dyDescent="0.2">
      <c r="A6066" s="333">
        <v>39169002901</v>
      </c>
      <c r="B6066" t="s">
        <v>2904</v>
      </c>
      <c r="C6066" s="341" t="s">
        <v>5334</v>
      </c>
    </row>
    <row r="6067" spans="1:3" x14ac:dyDescent="0.2">
      <c r="A6067" s="333">
        <v>39169002902</v>
      </c>
      <c r="B6067" t="s">
        <v>2905</v>
      </c>
      <c r="C6067" s="341" t="s">
        <v>5334</v>
      </c>
    </row>
    <row r="6068" spans="1:3" x14ac:dyDescent="0.2">
      <c r="A6068" s="333">
        <v>39169003000</v>
      </c>
      <c r="B6068" t="s">
        <v>2906</v>
      </c>
      <c r="C6068" s="341" t="s">
        <v>5334</v>
      </c>
    </row>
    <row r="6069" spans="1:3" x14ac:dyDescent="0.2">
      <c r="A6069" s="333">
        <v>39169003100</v>
      </c>
      <c r="B6069" t="s">
        <v>2907</v>
      </c>
      <c r="C6069" s="341" t="s">
        <v>5334</v>
      </c>
    </row>
    <row r="6070" spans="1:3" x14ac:dyDescent="0.2">
      <c r="A6070" s="333">
        <v>39169003200</v>
      </c>
      <c r="B6070" t="s">
        <v>2908</v>
      </c>
      <c r="C6070" s="341" t="s">
        <v>5334</v>
      </c>
    </row>
    <row r="6071" spans="1:3" x14ac:dyDescent="0.2">
      <c r="A6071" s="333">
        <v>39169003300</v>
      </c>
      <c r="B6071" t="s">
        <v>2909</v>
      </c>
      <c r="C6071" s="341" t="s">
        <v>5334</v>
      </c>
    </row>
    <row r="6072" spans="1:3" x14ac:dyDescent="0.2">
      <c r="A6072" s="333">
        <v>39169003400</v>
      </c>
      <c r="B6072" t="s">
        <v>2910</v>
      </c>
      <c r="C6072" s="341" t="s">
        <v>5334</v>
      </c>
    </row>
    <row r="6073" spans="1:3" x14ac:dyDescent="0.2">
      <c r="A6073" s="333">
        <v>39169003500</v>
      </c>
      <c r="B6073" t="s">
        <v>2911</v>
      </c>
      <c r="C6073" s="341" t="s">
        <v>5334</v>
      </c>
    </row>
    <row r="6074" spans="1:3" x14ac:dyDescent="0.2">
      <c r="A6074" s="333">
        <v>39169003700</v>
      </c>
      <c r="B6074" t="s">
        <v>2912</v>
      </c>
      <c r="C6074" s="341" t="s">
        <v>5334</v>
      </c>
    </row>
    <row r="6075" spans="1:3" x14ac:dyDescent="0.2">
      <c r="A6075" s="333">
        <v>39169980000</v>
      </c>
      <c r="B6075" t="s">
        <v>2913</v>
      </c>
      <c r="C6075" s="341" t="s">
        <v>5334</v>
      </c>
    </row>
    <row r="6076" spans="1:3" x14ac:dyDescent="0.2">
      <c r="A6076" s="333">
        <v>39171950100</v>
      </c>
      <c r="B6076" t="s">
        <v>2914</v>
      </c>
      <c r="C6076" s="341" t="s">
        <v>5334</v>
      </c>
    </row>
    <row r="6077" spans="1:3" x14ac:dyDescent="0.2">
      <c r="A6077" s="333">
        <v>39171950200</v>
      </c>
      <c r="B6077" t="s">
        <v>2915</v>
      </c>
      <c r="C6077" s="341" t="s">
        <v>5334</v>
      </c>
    </row>
    <row r="6078" spans="1:3" x14ac:dyDescent="0.2">
      <c r="A6078" s="333">
        <v>39171950300</v>
      </c>
      <c r="B6078" t="s">
        <v>2916</v>
      </c>
      <c r="C6078" s="341" t="s">
        <v>5334</v>
      </c>
    </row>
    <row r="6079" spans="1:3" x14ac:dyDescent="0.2">
      <c r="A6079" s="333">
        <v>39171950400</v>
      </c>
      <c r="B6079" t="s">
        <v>2917</v>
      </c>
      <c r="C6079" s="341" t="s">
        <v>5334</v>
      </c>
    </row>
    <row r="6080" spans="1:3" x14ac:dyDescent="0.2">
      <c r="A6080" s="333">
        <v>39171950500</v>
      </c>
      <c r="B6080" t="s">
        <v>2918</v>
      </c>
      <c r="C6080" s="341" t="s">
        <v>5334</v>
      </c>
    </row>
    <row r="6081" spans="1:3" x14ac:dyDescent="0.2">
      <c r="A6081" s="333">
        <v>39171950600</v>
      </c>
      <c r="B6081" t="s">
        <v>2919</v>
      </c>
      <c r="C6081" s="341" t="s">
        <v>5334</v>
      </c>
    </row>
    <row r="6082" spans="1:3" x14ac:dyDescent="0.2">
      <c r="A6082" s="333">
        <v>39171950700</v>
      </c>
      <c r="B6082" t="s">
        <v>2920</v>
      </c>
      <c r="C6082" s="341" t="s">
        <v>5334</v>
      </c>
    </row>
    <row r="6083" spans="1:3" x14ac:dyDescent="0.2">
      <c r="A6083" s="333">
        <v>39171950800</v>
      </c>
      <c r="B6083" t="s">
        <v>2921</v>
      </c>
      <c r="C6083" s="341" t="s">
        <v>5334</v>
      </c>
    </row>
    <row r="6084" spans="1:3" x14ac:dyDescent="0.2">
      <c r="A6084" s="333">
        <v>39171950900</v>
      </c>
      <c r="B6084" t="s">
        <v>2922</v>
      </c>
      <c r="C6084" s="341" t="s">
        <v>5334</v>
      </c>
    </row>
    <row r="6085" spans="1:3" x14ac:dyDescent="0.2">
      <c r="A6085" s="333">
        <v>39173020100</v>
      </c>
      <c r="B6085" t="s">
        <v>2923</v>
      </c>
      <c r="C6085" s="341" t="s">
        <v>5334</v>
      </c>
    </row>
    <row r="6086" spans="1:3" x14ac:dyDescent="0.2">
      <c r="A6086" s="333">
        <v>39173020200</v>
      </c>
      <c r="B6086" t="s">
        <v>2924</v>
      </c>
      <c r="C6086" s="341" t="s">
        <v>5334</v>
      </c>
    </row>
    <row r="6087" spans="1:3" x14ac:dyDescent="0.2">
      <c r="A6087" s="333">
        <v>39173020300</v>
      </c>
      <c r="B6087" t="s">
        <v>2925</v>
      </c>
      <c r="C6087" s="341" t="s">
        <v>5334</v>
      </c>
    </row>
    <row r="6088" spans="1:3" x14ac:dyDescent="0.2">
      <c r="A6088" s="333">
        <v>39173020401</v>
      </c>
      <c r="B6088" t="s">
        <v>2926</v>
      </c>
      <c r="C6088" s="341" t="s">
        <v>5334</v>
      </c>
    </row>
    <row r="6089" spans="1:3" x14ac:dyDescent="0.2">
      <c r="A6089" s="333">
        <v>39173020402</v>
      </c>
      <c r="B6089" t="s">
        <v>2927</v>
      </c>
      <c r="C6089" s="341" t="s">
        <v>5334</v>
      </c>
    </row>
    <row r="6090" spans="1:3" x14ac:dyDescent="0.2">
      <c r="A6090" s="333">
        <v>39173020500</v>
      </c>
      <c r="B6090" t="s">
        <v>2928</v>
      </c>
      <c r="C6090" s="341" t="s">
        <v>5334</v>
      </c>
    </row>
    <row r="6091" spans="1:3" x14ac:dyDescent="0.2">
      <c r="A6091" s="333">
        <v>39173020601</v>
      </c>
      <c r="B6091" t="s">
        <v>2929</v>
      </c>
      <c r="C6091" s="341" t="s">
        <v>5334</v>
      </c>
    </row>
    <row r="6092" spans="1:3" x14ac:dyDescent="0.2">
      <c r="A6092" s="333">
        <v>39173020602</v>
      </c>
      <c r="B6092" t="s">
        <v>2930</v>
      </c>
      <c r="C6092" s="341" t="s">
        <v>5334</v>
      </c>
    </row>
    <row r="6093" spans="1:3" x14ac:dyDescent="0.2">
      <c r="A6093" s="333">
        <v>39173020701</v>
      </c>
      <c r="B6093" t="s">
        <v>5895</v>
      </c>
      <c r="C6093" s="341" t="s">
        <v>5334</v>
      </c>
    </row>
    <row r="6094" spans="1:3" x14ac:dyDescent="0.2">
      <c r="A6094" s="333">
        <v>39173020702</v>
      </c>
      <c r="B6094" t="s">
        <v>5896</v>
      </c>
      <c r="C6094" s="341" t="s">
        <v>5334</v>
      </c>
    </row>
    <row r="6095" spans="1:3" x14ac:dyDescent="0.2">
      <c r="A6095" s="333">
        <v>39173020800</v>
      </c>
      <c r="B6095" t="s">
        <v>2932</v>
      </c>
      <c r="C6095" s="341" t="s">
        <v>5334</v>
      </c>
    </row>
    <row r="6096" spans="1:3" x14ac:dyDescent="0.2">
      <c r="A6096" s="333">
        <v>39173020901</v>
      </c>
      <c r="B6096" t="s">
        <v>5897</v>
      </c>
      <c r="C6096" s="341" t="s">
        <v>5334</v>
      </c>
    </row>
    <row r="6097" spans="1:3" x14ac:dyDescent="0.2">
      <c r="A6097" s="333">
        <v>39173020902</v>
      </c>
      <c r="B6097" t="s">
        <v>5898</v>
      </c>
      <c r="C6097" s="341" t="s">
        <v>5334</v>
      </c>
    </row>
    <row r="6098" spans="1:3" x14ac:dyDescent="0.2">
      <c r="A6098" s="333">
        <v>39173021000</v>
      </c>
      <c r="B6098" t="s">
        <v>2934</v>
      </c>
      <c r="C6098" s="341" t="s">
        <v>5334</v>
      </c>
    </row>
    <row r="6099" spans="1:3" x14ac:dyDescent="0.2">
      <c r="A6099" s="333">
        <v>39173021100</v>
      </c>
      <c r="B6099" t="s">
        <v>2935</v>
      </c>
      <c r="C6099" s="341" t="s">
        <v>5334</v>
      </c>
    </row>
    <row r="6100" spans="1:3" x14ac:dyDescent="0.2">
      <c r="A6100" s="333">
        <v>39173021200</v>
      </c>
      <c r="B6100" t="s">
        <v>2936</v>
      </c>
      <c r="C6100" s="341" t="s">
        <v>5334</v>
      </c>
    </row>
    <row r="6101" spans="1:3" x14ac:dyDescent="0.2">
      <c r="A6101" s="333">
        <v>39173021300</v>
      </c>
      <c r="B6101" t="s">
        <v>2937</v>
      </c>
      <c r="C6101" s="341" t="s">
        <v>5334</v>
      </c>
    </row>
    <row r="6102" spans="1:3" x14ac:dyDescent="0.2">
      <c r="A6102" s="333">
        <v>39173021400</v>
      </c>
      <c r="B6102" t="s">
        <v>2938</v>
      </c>
      <c r="C6102" s="341" t="s">
        <v>5334</v>
      </c>
    </row>
    <row r="6103" spans="1:3" x14ac:dyDescent="0.2">
      <c r="A6103" s="333">
        <v>39173021500</v>
      </c>
      <c r="B6103" t="s">
        <v>2939</v>
      </c>
      <c r="C6103" s="341" t="s">
        <v>5334</v>
      </c>
    </row>
    <row r="6104" spans="1:3" x14ac:dyDescent="0.2">
      <c r="A6104" s="333">
        <v>39173021601</v>
      </c>
      <c r="B6104" t="s">
        <v>5899</v>
      </c>
      <c r="C6104" s="341" t="s">
        <v>5334</v>
      </c>
    </row>
    <row r="6105" spans="1:3" x14ac:dyDescent="0.2">
      <c r="A6105" s="333">
        <v>39173021602</v>
      </c>
      <c r="B6105" t="s">
        <v>5900</v>
      </c>
      <c r="C6105" s="341" t="s">
        <v>5334</v>
      </c>
    </row>
    <row r="6106" spans="1:3" x14ac:dyDescent="0.2">
      <c r="A6106" s="333">
        <v>39173021701</v>
      </c>
      <c r="B6106" t="s">
        <v>2941</v>
      </c>
      <c r="C6106" s="341" t="s">
        <v>4330</v>
      </c>
    </row>
    <row r="6107" spans="1:3" x14ac:dyDescent="0.2">
      <c r="A6107" s="333">
        <v>39173021702</v>
      </c>
      <c r="B6107" t="s">
        <v>2942</v>
      </c>
      <c r="C6107" s="341" t="s">
        <v>4330</v>
      </c>
    </row>
    <row r="6108" spans="1:3" x14ac:dyDescent="0.2">
      <c r="A6108" s="333">
        <v>39173021800</v>
      </c>
      <c r="B6108" t="s">
        <v>2943</v>
      </c>
      <c r="C6108" s="341" t="s">
        <v>4330</v>
      </c>
    </row>
    <row r="6109" spans="1:3" x14ac:dyDescent="0.2">
      <c r="A6109" s="333">
        <v>39173021901</v>
      </c>
      <c r="B6109" t="s">
        <v>2944</v>
      </c>
      <c r="C6109" s="341" t="s">
        <v>5334</v>
      </c>
    </row>
    <row r="6110" spans="1:3" x14ac:dyDescent="0.2">
      <c r="A6110" s="333">
        <v>39173021902</v>
      </c>
      <c r="B6110" t="s">
        <v>2945</v>
      </c>
      <c r="C6110" s="341" t="s">
        <v>4330</v>
      </c>
    </row>
    <row r="6111" spans="1:3" x14ac:dyDescent="0.2">
      <c r="A6111" s="333">
        <v>39173022100</v>
      </c>
      <c r="B6111" t="s">
        <v>2946</v>
      </c>
      <c r="C6111" s="341" t="s">
        <v>5334</v>
      </c>
    </row>
    <row r="6112" spans="1:3" x14ac:dyDescent="0.2">
      <c r="A6112" s="333">
        <v>39173022200</v>
      </c>
      <c r="B6112" t="s">
        <v>2947</v>
      </c>
      <c r="C6112" s="341" t="s">
        <v>5334</v>
      </c>
    </row>
    <row r="6113" spans="1:3" x14ac:dyDescent="0.2">
      <c r="A6113" s="333">
        <v>39173022300</v>
      </c>
      <c r="B6113" t="s">
        <v>2948</v>
      </c>
      <c r="C6113" s="341" t="s">
        <v>5334</v>
      </c>
    </row>
    <row r="6114" spans="1:3" x14ac:dyDescent="0.2">
      <c r="A6114" s="333">
        <v>39173022400</v>
      </c>
      <c r="B6114" t="s">
        <v>2949</v>
      </c>
      <c r="C6114" s="341" t="s">
        <v>5334</v>
      </c>
    </row>
    <row r="6115" spans="1:3" x14ac:dyDescent="0.2">
      <c r="A6115" s="333">
        <v>39173022500</v>
      </c>
      <c r="B6115" t="s">
        <v>2950</v>
      </c>
      <c r="C6115" s="341" t="s">
        <v>5334</v>
      </c>
    </row>
    <row r="6116" spans="1:3" x14ac:dyDescent="0.2">
      <c r="A6116" s="333">
        <v>39175938000</v>
      </c>
      <c r="B6116" t="s">
        <v>2951</v>
      </c>
      <c r="C6116" s="341" t="s">
        <v>5334</v>
      </c>
    </row>
    <row r="6117" spans="1:3" x14ac:dyDescent="0.2">
      <c r="A6117" s="333">
        <v>39175938100</v>
      </c>
      <c r="B6117" t="s">
        <v>2952</v>
      </c>
      <c r="C6117" s="341" t="s">
        <v>5334</v>
      </c>
    </row>
    <row r="6118" spans="1:3" x14ac:dyDescent="0.2">
      <c r="A6118" s="333">
        <v>39175938200</v>
      </c>
      <c r="B6118" t="s">
        <v>2953</v>
      </c>
      <c r="C6118" s="341" t="s">
        <v>5334</v>
      </c>
    </row>
    <row r="6119" spans="1:3" x14ac:dyDescent="0.2">
      <c r="A6119" s="333">
        <v>39175938300</v>
      </c>
      <c r="B6119" t="s">
        <v>2954</v>
      </c>
      <c r="C6119" s="341" t="s">
        <v>5334</v>
      </c>
    </row>
    <row r="6120" spans="1:3" x14ac:dyDescent="0.2">
      <c r="A6120" s="333">
        <v>39175938400</v>
      </c>
      <c r="B6120" t="s">
        <v>2955</v>
      </c>
      <c r="C6120" s="341" t="s">
        <v>5334</v>
      </c>
    </row>
    <row r="6121" spans="1:3" x14ac:dyDescent="0.2">
      <c r="A6121" s="333">
        <v>39175938500</v>
      </c>
      <c r="B6121" t="s">
        <v>2956</v>
      </c>
      <c r="C6121" s="341" t="s">
        <v>5334</v>
      </c>
    </row>
  </sheetData>
  <sheetProtection algorithmName="SHA-512" hashValue="Ymr67ydRf0MpFCQqV/boPppbjbmiaYMehAPsdGio2VqhrJnQH7c/ctUZP2nMjhnn9crr27LMDB7MUSrruN2+Mw==" saltValue="dVOPZOflEvxXzH/ebbJXsA==" spinCount="100000" sheet="1" objects="1" scenarios="1"/>
  <mergeCells count="5">
    <mergeCell ref="L3:Q3"/>
    <mergeCell ref="S3:Z3"/>
    <mergeCell ref="AB3:AH3"/>
    <mergeCell ref="H3:I3"/>
    <mergeCell ref="A3:G3"/>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2"/>
  <dimension ref="A1:D373"/>
  <sheetViews>
    <sheetView zoomScale="80" zoomScaleNormal="80" workbookViewId="0">
      <selection activeCell="J34" sqref="J34"/>
    </sheetView>
  </sheetViews>
  <sheetFormatPr defaultColWidth="9" defaultRowHeight="14.25" x14ac:dyDescent="0.2"/>
  <cols>
    <col min="1" max="1" width="33.125" customWidth="1"/>
    <col min="2" max="2" width="28.75" customWidth="1"/>
    <col min="3" max="3" width="29.25" style="333" customWidth="1"/>
    <col min="4" max="4" width="25.25" customWidth="1"/>
  </cols>
  <sheetData>
    <row r="1" spans="1:4" s="5" customFormat="1" ht="54.95" customHeight="1" x14ac:dyDescent="0.2">
      <c r="C1" s="53"/>
    </row>
    <row r="2" spans="1:4" s="399" customFormat="1" ht="22.5" x14ac:dyDescent="0.3">
      <c r="A2" s="398" t="s">
        <v>4160</v>
      </c>
      <c r="B2" s="398"/>
      <c r="C2" s="504"/>
    </row>
    <row r="3" spans="1:4" s="126" customFormat="1" ht="15.75" x14ac:dyDescent="0.25">
      <c r="A3" s="400" t="s">
        <v>4297</v>
      </c>
      <c r="B3" s="400" t="s">
        <v>4479</v>
      </c>
      <c r="C3" s="401">
        <f>'Project Details'!C7</f>
        <v>0</v>
      </c>
    </row>
    <row r="4" spans="1:4" x14ac:dyDescent="0.2">
      <c r="A4" s="848" t="s">
        <v>4244</v>
      </c>
      <c r="B4" s="848" t="s">
        <v>4590</v>
      </c>
      <c r="C4" s="849">
        <f>'Project Details'!C6</f>
        <v>0</v>
      </c>
      <c r="D4" t="s">
        <v>5042</v>
      </c>
    </row>
    <row r="5" spans="1:4" x14ac:dyDescent="0.2">
      <c r="A5" s="848" t="s">
        <v>8</v>
      </c>
      <c r="B5" s="848" t="s">
        <v>8</v>
      </c>
      <c r="C5" s="849">
        <f>'Project Details'!C7</f>
        <v>0</v>
      </c>
      <c r="D5" t="s">
        <v>5042</v>
      </c>
    </row>
    <row r="6" spans="1:4" x14ac:dyDescent="0.2">
      <c r="A6" s="848" t="s">
        <v>4115</v>
      </c>
      <c r="B6" s="848" t="s">
        <v>3061</v>
      </c>
      <c r="C6" s="849">
        <f>'Project Details'!C8</f>
        <v>0</v>
      </c>
      <c r="D6" t="s">
        <v>5042</v>
      </c>
    </row>
    <row r="7" spans="1:4" x14ac:dyDescent="0.2">
      <c r="A7" s="848" t="s">
        <v>4116</v>
      </c>
      <c r="B7" s="848" t="s">
        <v>3062</v>
      </c>
      <c r="C7" s="849">
        <f>'Project Details'!C9</f>
        <v>0</v>
      </c>
      <c r="D7" t="s">
        <v>5042</v>
      </c>
    </row>
    <row r="8" spans="1:4" x14ac:dyDescent="0.2">
      <c r="A8" s="848" t="s">
        <v>4117</v>
      </c>
      <c r="B8" s="848" t="s">
        <v>4588</v>
      </c>
      <c r="C8" s="849">
        <f>'Project Details'!C10</f>
        <v>0</v>
      </c>
      <c r="D8" t="s">
        <v>5042</v>
      </c>
    </row>
    <row r="9" spans="1:4" x14ac:dyDescent="0.2">
      <c r="A9" s="848" t="s">
        <v>4118</v>
      </c>
      <c r="B9" s="848" t="s">
        <v>11</v>
      </c>
      <c r="C9" s="849">
        <f>'Project Details'!C12</f>
        <v>0</v>
      </c>
      <c r="D9" t="s">
        <v>5042</v>
      </c>
    </row>
    <row r="10" spans="1:4" x14ac:dyDescent="0.2">
      <c r="A10" s="848" t="s">
        <v>4119</v>
      </c>
      <c r="B10" s="848"/>
      <c r="C10" s="849">
        <f>'Project Details'!G8</f>
        <v>0</v>
      </c>
      <c r="D10" t="s">
        <v>5042</v>
      </c>
    </row>
    <row r="11" spans="1:4" x14ac:dyDescent="0.2">
      <c r="A11" s="848" t="s">
        <v>4120</v>
      </c>
      <c r="B11" s="848"/>
      <c r="C11" s="849">
        <f>'Project Details'!G9</f>
        <v>0</v>
      </c>
      <c r="D11" t="s">
        <v>5042</v>
      </c>
    </row>
    <row r="12" spans="1:4" x14ac:dyDescent="0.2">
      <c r="A12" s="848" t="s">
        <v>16</v>
      </c>
      <c r="B12" s="848"/>
      <c r="C12" s="849">
        <f>'Project Details'!G10</f>
        <v>0</v>
      </c>
      <c r="D12" t="s">
        <v>5042</v>
      </c>
    </row>
    <row r="13" spans="1:4" x14ac:dyDescent="0.2">
      <c r="A13" s="848" t="s">
        <v>4215</v>
      </c>
      <c r="B13" s="848"/>
      <c r="C13" s="849">
        <f>'Project Details'!G6</f>
        <v>0</v>
      </c>
      <c r="D13" t="s">
        <v>5042</v>
      </c>
    </row>
    <row r="14" spans="1:4" x14ac:dyDescent="0.2">
      <c r="A14" s="848" t="s">
        <v>4216</v>
      </c>
      <c r="B14" s="848"/>
      <c r="C14" s="849">
        <f>'Project Details'!G7</f>
        <v>0</v>
      </c>
      <c r="D14" t="s">
        <v>5042</v>
      </c>
    </row>
    <row r="15" spans="1:4" x14ac:dyDescent="0.2">
      <c r="A15" s="848" t="s">
        <v>3125</v>
      </c>
      <c r="B15" s="848" t="s">
        <v>3125</v>
      </c>
      <c r="C15" s="849">
        <f>'Project Details'!G11</f>
        <v>0</v>
      </c>
      <c r="D15" t="s">
        <v>5042</v>
      </c>
    </row>
    <row r="16" spans="1:4" x14ac:dyDescent="0.2">
      <c r="A16" s="848" t="s">
        <v>3552</v>
      </c>
      <c r="B16" s="848" t="s">
        <v>4589</v>
      </c>
      <c r="C16" s="849">
        <f>'Project Details'!C14</f>
        <v>0</v>
      </c>
      <c r="D16" t="s">
        <v>5042</v>
      </c>
    </row>
    <row r="17" spans="1:4" x14ac:dyDescent="0.2">
      <c r="A17" s="848" t="s">
        <v>2958</v>
      </c>
      <c r="B17" s="848"/>
      <c r="C17" s="849" t="str">
        <f>'Project Details'!C15</f>
        <v/>
      </c>
      <c r="D17" t="s">
        <v>5042</v>
      </c>
    </row>
    <row r="18" spans="1:4" x14ac:dyDescent="0.2">
      <c r="A18" s="848" t="s">
        <v>2959</v>
      </c>
      <c r="B18" s="848"/>
      <c r="C18" s="849" t="str">
        <f>'Project Details'!C17</f>
        <v/>
      </c>
      <c r="D18" t="s">
        <v>5042</v>
      </c>
    </row>
    <row r="19" spans="1:4" x14ac:dyDescent="0.2">
      <c r="A19" s="848" t="s">
        <v>3927</v>
      </c>
      <c r="B19" s="848" t="s">
        <v>4591</v>
      </c>
      <c r="C19" s="849" t="str">
        <f>'Project Details'!G14</f>
        <v/>
      </c>
      <c r="D19" t="s">
        <v>5042</v>
      </c>
    </row>
    <row r="20" spans="1:4" x14ac:dyDescent="0.2">
      <c r="A20" s="848" t="s">
        <v>3932</v>
      </c>
      <c r="B20" s="848" t="s">
        <v>3932</v>
      </c>
      <c r="C20" s="849" t="str">
        <f>'Project Details'!G15</f>
        <v/>
      </c>
      <c r="D20" t="s">
        <v>5042</v>
      </c>
    </row>
    <row r="21" spans="1:4" x14ac:dyDescent="0.2">
      <c r="A21" s="848" t="s">
        <v>3901</v>
      </c>
      <c r="B21" s="848"/>
      <c r="C21" s="849">
        <f>'Project Details'!G16</f>
        <v>0</v>
      </c>
      <c r="D21" t="s">
        <v>5042</v>
      </c>
    </row>
    <row r="22" spans="1:4" x14ac:dyDescent="0.2">
      <c r="A22" s="850" t="s">
        <v>4815</v>
      </c>
      <c r="B22" s="850"/>
      <c r="C22" s="851">
        <f>'Project Details'!C20</f>
        <v>0</v>
      </c>
    </row>
    <row r="23" spans="1:4" x14ac:dyDescent="0.2">
      <c r="A23" s="850" t="s">
        <v>3912</v>
      </c>
      <c r="B23" s="850"/>
      <c r="C23" s="851" t="str">
        <f>'Project Details'!C21</f>
        <v/>
      </c>
    </row>
    <row r="24" spans="1:4" x14ac:dyDescent="0.2">
      <c r="A24" s="850" t="s">
        <v>3556</v>
      </c>
      <c r="B24" s="850"/>
      <c r="C24" s="851">
        <f>'Project Details'!C22</f>
        <v>0</v>
      </c>
    </row>
    <row r="25" spans="1:4" x14ac:dyDescent="0.2">
      <c r="A25" s="850" t="s">
        <v>4921</v>
      </c>
      <c r="B25" s="850"/>
      <c r="C25" s="851">
        <f>'Project Details'!C23</f>
        <v>0</v>
      </c>
    </row>
    <row r="26" spans="1:4" x14ac:dyDescent="0.2">
      <c r="A26" s="850" t="s">
        <v>4922</v>
      </c>
      <c r="B26" s="850"/>
      <c r="C26" s="851" t="str">
        <f>'Project Details'!G20</f>
        <v>Proposal</v>
      </c>
    </row>
    <row r="27" spans="1:4" x14ac:dyDescent="0.2">
      <c r="A27" s="850" t="s">
        <v>4838</v>
      </c>
      <c r="B27" s="850"/>
      <c r="C27" s="851">
        <f>'Project Details'!C26</f>
        <v>0</v>
      </c>
    </row>
    <row r="28" spans="1:4" x14ac:dyDescent="0.2">
      <c r="A28" s="850" t="s">
        <v>4837</v>
      </c>
      <c r="B28" s="850"/>
      <c r="C28" s="851">
        <f>'Project Details'!C27</f>
        <v>0</v>
      </c>
    </row>
    <row r="29" spans="1:4" x14ac:dyDescent="0.2">
      <c r="A29" s="850" t="s">
        <v>4811</v>
      </c>
      <c r="B29" s="850"/>
      <c r="C29" s="851">
        <f>'Project Details'!C28</f>
        <v>0</v>
      </c>
    </row>
    <row r="30" spans="1:4" x14ac:dyDescent="0.2">
      <c r="A30" s="850" t="s">
        <v>4812</v>
      </c>
      <c r="B30" s="850"/>
      <c r="C30" s="851">
        <f>'Project Details'!C29</f>
        <v>0</v>
      </c>
    </row>
    <row r="31" spans="1:4" x14ac:dyDescent="0.2">
      <c r="A31" s="850" t="s">
        <v>4813</v>
      </c>
      <c r="B31" s="850"/>
      <c r="C31" s="851">
        <f>'Project Details'!C30</f>
        <v>0</v>
      </c>
    </row>
    <row r="32" spans="1:4" x14ac:dyDescent="0.2">
      <c r="A32" s="850" t="s">
        <v>4296</v>
      </c>
      <c r="B32" s="850"/>
      <c r="C32" s="851">
        <f>'Project Details'!C31</f>
        <v>0</v>
      </c>
    </row>
    <row r="33" spans="1:4" x14ac:dyDescent="0.2">
      <c r="A33" s="850" t="s">
        <v>4136</v>
      </c>
      <c r="B33" s="850"/>
      <c r="C33" s="850" t="str">
        <f>IF('Budget &amp; Costs'!G241&gt;0,"Yes","No")</f>
        <v>No</v>
      </c>
    </row>
    <row r="34" spans="1:4" x14ac:dyDescent="0.2">
      <c r="A34" t="s">
        <v>4139</v>
      </c>
      <c r="C34" s="511">
        <f>'Project Details'!C281</f>
        <v>0</v>
      </c>
    </row>
    <row r="35" spans="1:4" x14ac:dyDescent="0.2">
      <c r="A35" s="402" t="s">
        <v>3572</v>
      </c>
      <c r="B35" s="402" t="s">
        <v>4613</v>
      </c>
      <c r="C35" s="402">
        <f>'Housing Credits'!C27</f>
        <v>0</v>
      </c>
    </row>
    <row r="36" spans="1:4" x14ac:dyDescent="0.2">
      <c r="A36" s="402" t="s">
        <v>3589</v>
      </c>
      <c r="B36" s="402"/>
      <c r="C36" s="402">
        <f>'Housing Credits'!C54</f>
        <v>0</v>
      </c>
    </row>
    <row r="37" spans="1:4" x14ac:dyDescent="0.2">
      <c r="A37" s="402" t="s">
        <v>4955</v>
      </c>
      <c r="B37" s="402"/>
      <c r="C37" s="402">
        <f>'Housing Credits'!C56</f>
        <v>0</v>
      </c>
    </row>
    <row r="38" spans="1:4" x14ac:dyDescent="0.2">
      <c r="A38" s="402" t="s">
        <v>4956</v>
      </c>
      <c r="B38" s="402" t="s">
        <v>4614</v>
      </c>
      <c r="C38" s="402">
        <f>'Housing Credits'!C69</f>
        <v>0</v>
      </c>
    </row>
    <row r="39" spans="1:4" x14ac:dyDescent="0.2">
      <c r="A39" s="402" t="s">
        <v>4923</v>
      </c>
      <c r="B39" s="402"/>
      <c r="C39" s="853">
        <f>'Project Details'!G27</f>
        <v>0</v>
      </c>
    </row>
    <row r="40" spans="1:4" x14ac:dyDescent="0.2">
      <c r="A40" s="402" t="s">
        <v>4925</v>
      </c>
      <c r="B40" s="402"/>
      <c r="C40" s="853">
        <f>'Project Details'!G28</f>
        <v>0</v>
      </c>
    </row>
    <row r="41" spans="1:4" x14ac:dyDescent="0.2">
      <c r="A41" s="402" t="s">
        <v>4924</v>
      </c>
      <c r="B41" s="402"/>
      <c r="C41" s="853">
        <f>'Project Details'!G29</f>
        <v>0</v>
      </c>
    </row>
    <row r="42" spans="1:4" x14ac:dyDescent="0.2">
      <c r="A42" s="402" t="s">
        <v>4137</v>
      </c>
      <c r="B42" s="402"/>
      <c r="C42" s="852">
        <f>'Housing Credits'!C43</f>
        <v>0</v>
      </c>
      <c r="D42" t="s">
        <v>4587</v>
      </c>
    </row>
    <row r="43" spans="1:4" x14ac:dyDescent="0.2">
      <c r="A43" s="402" t="s">
        <v>4957</v>
      </c>
      <c r="B43" s="402"/>
      <c r="C43" s="852">
        <f>'Housing Credits'!C39</f>
        <v>0</v>
      </c>
      <c r="D43" t="s">
        <v>4587</v>
      </c>
    </row>
    <row r="44" spans="1:4" x14ac:dyDescent="0.2">
      <c r="A44" s="402" t="s">
        <v>4958</v>
      </c>
      <c r="B44" s="402"/>
      <c r="C44" s="852">
        <f>'Housing Credits'!D39</f>
        <v>0</v>
      </c>
      <c r="D44" t="s">
        <v>4587</v>
      </c>
    </row>
    <row r="45" spans="1:4" x14ac:dyDescent="0.2">
      <c r="A45" s="402" t="s">
        <v>4959</v>
      </c>
      <c r="B45" s="402"/>
      <c r="C45" s="852">
        <f>'Housing Credits'!E39</f>
        <v>0</v>
      </c>
      <c r="D45" t="s">
        <v>4587</v>
      </c>
    </row>
    <row r="46" spans="1:4" x14ac:dyDescent="0.2">
      <c r="A46" s="402" t="s">
        <v>4583</v>
      </c>
      <c r="B46" s="402"/>
      <c r="C46" s="852">
        <f>SUM('Budget &amp; Costs'!G239,'Budget &amp; Costs'!G240)</f>
        <v>0</v>
      </c>
      <c r="D46" t="s">
        <v>4587</v>
      </c>
    </row>
    <row r="47" spans="1:4" x14ac:dyDescent="0.2">
      <c r="A47" s="402" t="s">
        <v>4585</v>
      </c>
      <c r="B47" s="402"/>
      <c r="C47" s="852">
        <f>'HDL+HDAP+MLP'!D8</f>
        <v>0</v>
      </c>
      <c r="D47" t="s">
        <v>4587</v>
      </c>
    </row>
    <row r="48" spans="1:4" x14ac:dyDescent="0.2">
      <c r="A48" s="402" t="s">
        <v>4584</v>
      </c>
      <c r="B48" s="402"/>
      <c r="C48" s="852">
        <f>'HDL+HDAP+MLP'!D51</f>
        <v>0</v>
      </c>
      <c r="D48" t="s">
        <v>4587</v>
      </c>
    </row>
    <row r="49" spans="1:4" x14ac:dyDescent="0.2">
      <c r="A49" s="402" t="s">
        <v>4960</v>
      </c>
      <c r="B49" s="402"/>
      <c r="C49" s="852" t="e">
        <f>'Multifamily Bonds'!D17:D20</f>
        <v>#VALUE!</v>
      </c>
      <c r="D49" t="s">
        <v>4587</v>
      </c>
    </row>
    <row r="50" spans="1:4" x14ac:dyDescent="0.2">
      <c r="A50" s="402" t="s">
        <v>4586</v>
      </c>
      <c r="B50" s="402"/>
      <c r="C50" s="853">
        <f>'Project Details'!C53</f>
        <v>0</v>
      </c>
      <c r="D50" t="s">
        <v>5044</v>
      </c>
    </row>
    <row r="51" spans="1:4" x14ac:dyDescent="0.2">
      <c r="A51" s="402" t="s">
        <v>4553</v>
      </c>
      <c r="B51" s="402"/>
      <c r="C51" s="853">
        <f>'Project Details'!C54</f>
        <v>0</v>
      </c>
      <c r="D51" t="s">
        <v>5044</v>
      </c>
    </row>
    <row r="52" spans="1:4" x14ac:dyDescent="0.2">
      <c r="A52" s="402" t="s">
        <v>4140</v>
      </c>
      <c r="B52" s="402"/>
      <c r="C52" s="853">
        <f>'Project Details'!C55</f>
        <v>0</v>
      </c>
      <c r="D52" t="s">
        <v>5044</v>
      </c>
    </row>
    <row r="53" spans="1:4" x14ac:dyDescent="0.2">
      <c r="A53" s="402" t="s">
        <v>4211</v>
      </c>
      <c r="B53" s="402"/>
      <c r="C53" s="853">
        <f>'Budget &amp; Costs'!E225</f>
        <v>0</v>
      </c>
      <c r="D53" t="s">
        <v>5044</v>
      </c>
    </row>
    <row r="54" spans="1:4" x14ac:dyDescent="0.2">
      <c r="A54" s="402" t="s">
        <v>5026</v>
      </c>
      <c r="B54" s="402"/>
      <c r="C54" s="853">
        <f>'Project Details'!C56</f>
        <v>0</v>
      </c>
      <c r="D54" t="s">
        <v>5044</v>
      </c>
    </row>
    <row r="55" spans="1:4" x14ac:dyDescent="0.2">
      <c r="A55" s="402" t="s">
        <v>5027</v>
      </c>
      <c r="B55" s="402"/>
      <c r="C55" s="853">
        <f>'Project Details'!C57</f>
        <v>0</v>
      </c>
      <c r="D55" t="s">
        <v>5044</v>
      </c>
    </row>
    <row r="56" spans="1:4" x14ac:dyDescent="0.2">
      <c r="A56" s="405" t="s">
        <v>4206</v>
      </c>
      <c r="B56" s="405"/>
      <c r="C56" s="512">
        <f>'Project Details'!C35</f>
        <v>0</v>
      </c>
      <c r="D56" t="s">
        <v>4326</v>
      </c>
    </row>
    <row r="57" spans="1:4" x14ac:dyDescent="0.2">
      <c r="A57" s="405" t="s">
        <v>4234</v>
      </c>
      <c r="B57" s="405"/>
      <c r="C57" s="512">
        <f>'Project Details'!C36</f>
        <v>0</v>
      </c>
      <c r="D57" t="s">
        <v>4326</v>
      </c>
    </row>
    <row r="58" spans="1:4" x14ac:dyDescent="0.2">
      <c r="A58" s="405" t="s">
        <v>4233</v>
      </c>
      <c r="B58" s="405"/>
      <c r="C58" s="512">
        <f>'Project Details'!C37</f>
        <v>0</v>
      </c>
      <c r="D58" t="s">
        <v>4326</v>
      </c>
    </row>
    <row r="59" spans="1:4" x14ac:dyDescent="0.2">
      <c r="A59" s="405" t="s">
        <v>4208</v>
      </c>
      <c r="B59" s="405"/>
      <c r="C59" s="512">
        <f>'Project Details'!C39</f>
        <v>0</v>
      </c>
      <c r="D59" t="s">
        <v>4326</v>
      </c>
    </row>
    <row r="60" spans="1:4" x14ac:dyDescent="0.2">
      <c r="A60" s="405" t="s">
        <v>4961</v>
      </c>
      <c r="B60" s="405"/>
      <c r="C60" s="512">
        <f>'Project Details'!G35</f>
        <v>0</v>
      </c>
      <c r="D60" t="s">
        <v>4326</v>
      </c>
    </row>
    <row r="61" spans="1:4" x14ac:dyDescent="0.2">
      <c r="A61" s="405" t="s">
        <v>4962</v>
      </c>
      <c r="B61" s="405"/>
      <c r="C61" s="512">
        <f>'Project Details'!G36</f>
        <v>0</v>
      </c>
      <c r="D61" t="s">
        <v>4326</v>
      </c>
    </row>
    <row r="62" spans="1:4" x14ac:dyDescent="0.2">
      <c r="A62" s="405" t="s">
        <v>4963</v>
      </c>
      <c r="B62" s="405"/>
      <c r="C62" s="512">
        <f>'Project Details'!G37</f>
        <v>0</v>
      </c>
      <c r="D62" t="s">
        <v>4326</v>
      </c>
    </row>
    <row r="63" spans="1:4" x14ac:dyDescent="0.2">
      <c r="A63" s="405" t="s">
        <v>4235</v>
      </c>
      <c r="B63" s="405"/>
      <c r="C63" s="818">
        <f>'Project Details'!C38</f>
        <v>0</v>
      </c>
      <c r="D63" t="s">
        <v>4326</v>
      </c>
    </row>
    <row r="64" spans="1:4" x14ac:dyDescent="0.2">
      <c r="A64" s="405" t="s">
        <v>4141</v>
      </c>
      <c r="B64" s="405"/>
      <c r="C64" s="512">
        <f>'Project Details'!G38</f>
        <v>0</v>
      </c>
      <c r="D64" t="s">
        <v>4326</v>
      </c>
    </row>
    <row r="65" spans="1:4" x14ac:dyDescent="0.2">
      <c r="A65" s="848" t="s">
        <v>4214</v>
      </c>
      <c r="B65" s="848"/>
      <c r="C65" s="854">
        <f>'Proposal Summary'!I62</f>
        <v>0</v>
      </c>
      <c r="D65" t="s">
        <v>5047</v>
      </c>
    </row>
    <row r="66" spans="1:4" x14ac:dyDescent="0.2">
      <c r="A66" s="848" t="s">
        <v>5028</v>
      </c>
      <c r="B66" s="848"/>
      <c r="C66" s="855">
        <f>'Scoring - New Affordability-CC'!C204</f>
        <v>0</v>
      </c>
      <c r="D66" t="s">
        <v>5047</v>
      </c>
    </row>
    <row r="67" spans="1:4" x14ac:dyDescent="0.2">
      <c r="A67" s="848" t="s">
        <v>5029</v>
      </c>
      <c r="B67" s="848"/>
      <c r="C67" s="855" t="e">
        <f>#REF!</f>
        <v>#REF!</v>
      </c>
      <c r="D67" t="s">
        <v>5047</v>
      </c>
    </row>
    <row r="68" spans="1:4" x14ac:dyDescent="0.2">
      <c r="A68" s="848" t="s">
        <v>5030</v>
      </c>
      <c r="B68" s="848"/>
      <c r="C68" s="855" t="e">
        <f>#REF!</f>
        <v>#REF!</v>
      </c>
      <c r="D68" t="s">
        <v>5047</v>
      </c>
    </row>
    <row r="69" spans="1:4" x14ac:dyDescent="0.2">
      <c r="A69" s="848" t="s">
        <v>5031</v>
      </c>
      <c r="B69" s="848"/>
      <c r="C69" s="855" t="e">
        <f>#REF!</f>
        <v>#REF!</v>
      </c>
      <c r="D69" t="s">
        <v>5047</v>
      </c>
    </row>
    <row r="70" spans="1:4" x14ac:dyDescent="0.2">
      <c r="A70" s="848" t="s">
        <v>5032</v>
      </c>
      <c r="B70" s="848"/>
      <c r="C70" s="855" t="e">
        <f>'Scoring - Preserved '!C132</f>
        <v>#DIV/0!</v>
      </c>
      <c r="D70" t="s">
        <v>5047</v>
      </c>
    </row>
    <row r="71" spans="1:4" x14ac:dyDescent="0.2">
      <c r="A71" s="848" t="s">
        <v>5033</v>
      </c>
      <c r="B71" s="848"/>
      <c r="C71" s="855" t="e">
        <f>#REF!</f>
        <v>#REF!</v>
      </c>
      <c r="D71" t="s">
        <v>5047</v>
      </c>
    </row>
    <row r="72" spans="1:4" x14ac:dyDescent="0.2">
      <c r="A72" s="848" t="s">
        <v>5034</v>
      </c>
      <c r="B72" s="848"/>
      <c r="C72" s="855">
        <f>'Service Enriched'!C92</f>
        <v>0</v>
      </c>
      <c r="D72" t="s">
        <v>5047</v>
      </c>
    </row>
    <row r="73" spans="1:4" x14ac:dyDescent="0.2">
      <c r="A73" s="848" t="s">
        <v>5035</v>
      </c>
      <c r="B73" s="848"/>
      <c r="C73" s="855" t="e">
        <f>#REF!</f>
        <v>#REF!</v>
      </c>
      <c r="D73" t="s">
        <v>5047</v>
      </c>
    </row>
    <row r="74" spans="1:4" x14ac:dyDescent="0.2">
      <c r="A74" s="848" t="s">
        <v>5036</v>
      </c>
      <c r="B74" s="848"/>
      <c r="C74" s="855" t="e">
        <f>#REF!</f>
        <v>#REF!</v>
      </c>
      <c r="D74" t="s">
        <v>5047</v>
      </c>
    </row>
    <row r="75" spans="1:4" x14ac:dyDescent="0.2">
      <c r="A75" t="s">
        <v>4038</v>
      </c>
      <c r="C75" s="333">
        <f>'Project Details'!G30</f>
        <v>0</v>
      </c>
      <c r="D75" t="s">
        <v>5046</v>
      </c>
    </row>
    <row r="76" spans="1:4" x14ac:dyDescent="0.2">
      <c r="A76" t="s">
        <v>4173</v>
      </c>
      <c r="B76" t="s">
        <v>4480</v>
      </c>
      <c r="C76" s="333">
        <f>'Project Details'!G31</f>
        <v>0</v>
      </c>
      <c r="D76" t="s">
        <v>5046</v>
      </c>
    </row>
    <row r="77" spans="1:4" x14ac:dyDescent="0.2">
      <c r="A77" t="s">
        <v>4814</v>
      </c>
      <c r="B77" t="s">
        <v>4592</v>
      </c>
      <c r="C77" s="333">
        <f>'Project Details'!G32</f>
        <v>0</v>
      </c>
      <c r="D77" t="s">
        <v>5046</v>
      </c>
    </row>
    <row r="78" spans="1:4" x14ac:dyDescent="0.2">
      <c r="A78" t="s">
        <v>4174</v>
      </c>
      <c r="C78" s="333">
        <f>'Project Details'!C63</f>
        <v>0</v>
      </c>
      <c r="D78" t="s">
        <v>5045</v>
      </c>
    </row>
    <row r="79" spans="1:4" x14ac:dyDescent="0.2">
      <c r="A79" t="s">
        <v>3115</v>
      </c>
      <c r="C79" s="333">
        <f>'Project Details'!C64</f>
        <v>0</v>
      </c>
      <c r="D79" t="s">
        <v>5045</v>
      </c>
    </row>
    <row r="80" spans="1:4" x14ac:dyDescent="0.2">
      <c r="A80" t="s">
        <v>3114</v>
      </c>
      <c r="C80" s="333" t="e">
        <f>'Project Details'!#REF!</f>
        <v>#REF!</v>
      </c>
      <c r="D80" t="s">
        <v>5045</v>
      </c>
    </row>
    <row r="81" spans="1:4" x14ac:dyDescent="0.2">
      <c r="A81" t="s">
        <v>3113</v>
      </c>
      <c r="C81" s="333" t="e">
        <f>'Project Details'!#REF!</f>
        <v>#REF!</v>
      </c>
      <c r="D81" t="s">
        <v>5045</v>
      </c>
    </row>
    <row r="82" spans="1:4" x14ac:dyDescent="0.2">
      <c r="A82" t="s">
        <v>3116</v>
      </c>
      <c r="C82" s="333">
        <f>'Project Details'!C65</f>
        <v>0</v>
      </c>
      <c r="D82" t="s">
        <v>5045</v>
      </c>
    </row>
    <row r="83" spans="1:4" x14ac:dyDescent="0.2">
      <c r="A83" t="s">
        <v>3112</v>
      </c>
      <c r="C83" s="333">
        <f>'Project Details'!C66</f>
        <v>0</v>
      </c>
      <c r="D83" t="s">
        <v>5045</v>
      </c>
    </row>
    <row r="84" spans="1:4" x14ac:dyDescent="0.2">
      <c r="A84" s="406" t="s">
        <v>4243</v>
      </c>
      <c r="B84" s="406" t="s">
        <v>4243</v>
      </c>
      <c r="C84" s="406" t="e">
        <f>'Project Details'!C214:F218</f>
        <v>#VALUE!</v>
      </c>
      <c r="D84" t="s">
        <v>5049</v>
      </c>
    </row>
    <row r="85" spans="1:4" x14ac:dyDescent="0.2">
      <c r="A85" s="406" t="s">
        <v>4242</v>
      </c>
      <c r="B85" s="406" t="s">
        <v>4616</v>
      </c>
      <c r="C85" s="406" t="str">
        <f>'Project Details'!K187</f>
        <v>Enter Date Constructed</v>
      </c>
      <c r="D85" t="s">
        <v>5049</v>
      </c>
    </row>
    <row r="86" spans="1:4" x14ac:dyDescent="0.2">
      <c r="A86" s="406" t="s">
        <v>3621</v>
      </c>
      <c r="B86" s="406" t="s">
        <v>3621</v>
      </c>
      <c r="C86" s="406">
        <f>'Budget &amp; Costs'!D49</f>
        <v>0</v>
      </c>
      <c r="D86" t="s">
        <v>5049</v>
      </c>
    </row>
    <row r="87" spans="1:4" x14ac:dyDescent="0.2">
      <c r="A87" s="406" t="s">
        <v>4248</v>
      </c>
      <c r="B87" s="406" t="s">
        <v>4596</v>
      </c>
      <c r="C87" s="406">
        <f>'Budget &amp; Costs'!D50</f>
        <v>0</v>
      </c>
      <c r="D87" t="s">
        <v>5049</v>
      </c>
    </row>
    <row r="88" spans="1:4" x14ac:dyDescent="0.2">
      <c r="A88" s="406" t="s">
        <v>4926</v>
      </c>
      <c r="B88" s="406"/>
      <c r="C88" s="406">
        <f>'Budget &amp; Costs'!D52</f>
        <v>0</v>
      </c>
      <c r="D88" t="s">
        <v>5049</v>
      </c>
    </row>
    <row r="89" spans="1:4" x14ac:dyDescent="0.2">
      <c r="A89" s="406" t="s">
        <v>4927</v>
      </c>
      <c r="B89" s="406"/>
      <c r="C89" s="406">
        <f>'Budget &amp; Costs'!D53</f>
        <v>0</v>
      </c>
      <c r="D89" t="s">
        <v>5049</v>
      </c>
    </row>
    <row r="90" spans="1:4" x14ac:dyDescent="0.2">
      <c r="A90" s="406" t="s">
        <v>4279</v>
      </c>
      <c r="B90" s="406"/>
      <c r="C90" s="406">
        <f>'Project Details'!U187</f>
        <v>0</v>
      </c>
      <c r="D90" t="s">
        <v>5048</v>
      </c>
    </row>
    <row r="91" spans="1:4" x14ac:dyDescent="0.2">
      <c r="A91" s="406" t="s">
        <v>4280</v>
      </c>
      <c r="B91" s="406"/>
      <c r="C91" s="406">
        <f>'Project Details'!V187</f>
        <v>0</v>
      </c>
      <c r="D91" t="s">
        <v>5048</v>
      </c>
    </row>
    <row r="92" spans="1:4" x14ac:dyDescent="0.2">
      <c r="A92" s="406" t="s">
        <v>4246</v>
      </c>
      <c r="B92" s="406"/>
      <c r="C92" s="406">
        <f>'Budget &amp; Costs'!D55</f>
        <v>0</v>
      </c>
      <c r="D92" t="s">
        <v>5048</v>
      </c>
    </row>
    <row r="93" spans="1:4" x14ac:dyDescent="0.2">
      <c r="A93" s="406" t="s">
        <v>5019</v>
      </c>
      <c r="B93" s="406" t="s">
        <v>4593</v>
      </c>
      <c r="C93" s="406">
        <f>'Budget &amp; Costs'!D56</f>
        <v>0</v>
      </c>
      <c r="D93" t="s">
        <v>5048</v>
      </c>
    </row>
    <row r="94" spans="1:4" x14ac:dyDescent="0.2">
      <c r="A94" s="406" t="s">
        <v>4247</v>
      </c>
      <c r="B94" s="406"/>
      <c r="C94" s="406">
        <f>'Budget &amp; Costs'!D57</f>
        <v>0</v>
      </c>
      <c r="D94" t="s">
        <v>5048</v>
      </c>
    </row>
    <row r="95" spans="1:4" x14ac:dyDescent="0.2">
      <c r="A95" s="406" t="s">
        <v>5020</v>
      </c>
      <c r="B95" s="406" t="s">
        <v>4594</v>
      </c>
      <c r="C95" s="406">
        <f>'Budget &amp; Costs'!D58</f>
        <v>0</v>
      </c>
      <c r="D95" t="s">
        <v>5048</v>
      </c>
    </row>
    <row r="96" spans="1:4" x14ac:dyDescent="0.2">
      <c r="A96" s="406" t="s">
        <v>5018</v>
      </c>
      <c r="B96" s="406"/>
      <c r="C96" s="406">
        <f>'Budget &amp; Costs'!D59</f>
        <v>0</v>
      </c>
      <c r="D96" t="s">
        <v>5048</v>
      </c>
    </row>
    <row r="97" spans="1:4" x14ac:dyDescent="0.2">
      <c r="A97" s="406" t="s">
        <v>5021</v>
      </c>
      <c r="B97" s="406" t="s">
        <v>4595</v>
      </c>
      <c r="C97" s="406">
        <f>'Budget &amp; Costs'!D60</f>
        <v>0</v>
      </c>
      <c r="D97" t="s">
        <v>5048</v>
      </c>
    </row>
    <row r="98" spans="1:4" x14ac:dyDescent="0.2">
      <c r="A98" s="406" t="s">
        <v>4928</v>
      </c>
      <c r="B98" s="406" t="s">
        <v>4597</v>
      </c>
      <c r="C98" s="505">
        <f>'Budget &amp; Costs'!D79</f>
        <v>0</v>
      </c>
      <c r="D98" t="s">
        <v>4572</v>
      </c>
    </row>
    <row r="99" spans="1:4" x14ac:dyDescent="0.2">
      <c r="A99" s="406" t="s">
        <v>4929</v>
      </c>
      <c r="B99" s="406" t="s">
        <v>4598</v>
      </c>
      <c r="C99" s="505">
        <f>'Budget &amp; Costs'!D78</f>
        <v>0</v>
      </c>
      <c r="D99" t="s">
        <v>4572</v>
      </c>
    </row>
    <row r="100" spans="1:4" x14ac:dyDescent="0.2">
      <c r="A100" s="406" t="s">
        <v>4930</v>
      </c>
      <c r="B100" s="406" t="s">
        <v>4599</v>
      </c>
      <c r="C100" s="505">
        <f>'Budget &amp; Costs'!D77</f>
        <v>0</v>
      </c>
      <c r="D100" t="s">
        <v>4572</v>
      </c>
    </row>
    <row r="101" spans="1:4" x14ac:dyDescent="0.2">
      <c r="A101" s="406" t="s">
        <v>4931</v>
      </c>
      <c r="B101" s="406" t="s">
        <v>4600</v>
      </c>
      <c r="C101" s="505">
        <f>'Budget &amp; Costs'!D76</f>
        <v>0</v>
      </c>
      <c r="D101" t="s">
        <v>4572</v>
      </c>
    </row>
    <row r="102" spans="1:4" x14ac:dyDescent="0.2">
      <c r="A102" s="406" t="s">
        <v>4932</v>
      </c>
      <c r="B102" s="406" t="s">
        <v>4601</v>
      </c>
      <c r="C102" s="505">
        <f>'Budget &amp; Costs'!D75</f>
        <v>0</v>
      </c>
      <c r="D102" t="s">
        <v>4572</v>
      </c>
    </row>
    <row r="103" spans="1:4" x14ac:dyDescent="0.2">
      <c r="A103" s="406" t="s">
        <v>4933</v>
      </c>
      <c r="B103" s="406" t="s">
        <v>4602</v>
      </c>
      <c r="C103" s="505">
        <f>'Budget &amp; Costs'!D74</f>
        <v>0</v>
      </c>
      <c r="D103" t="s">
        <v>4572</v>
      </c>
    </row>
    <row r="104" spans="1:4" x14ac:dyDescent="0.2">
      <c r="A104" s="406" t="s">
        <v>4934</v>
      </c>
      <c r="B104" s="406" t="s">
        <v>4603</v>
      </c>
      <c r="C104" s="505">
        <f>'Budget &amp; Costs'!D73</f>
        <v>0</v>
      </c>
      <c r="D104" t="s">
        <v>4572</v>
      </c>
    </row>
    <row r="105" spans="1:4" x14ac:dyDescent="0.2">
      <c r="A105" s="406" t="s">
        <v>4240</v>
      </c>
      <c r="B105" s="406" t="s">
        <v>4604</v>
      </c>
      <c r="C105" s="505">
        <f>'Budget &amp; Costs'!C44</f>
        <v>0</v>
      </c>
      <c r="D105" t="s">
        <v>4572</v>
      </c>
    </row>
    <row r="106" spans="1:4" x14ac:dyDescent="0.2">
      <c r="A106" s="406" t="s">
        <v>4941</v>
      </c>
      <c r="B106" s="406" t="s">
        <v>4942</v>
      </c>
      <c r="C106" s="505">
        <f>'Budget &amp; Costs'!D64</f>
        <v>0</v>
      </c>
      <c r="D106" t="s">
        <v>4949</v>
      </c>
    </row>
    <row r="107" spans="1:4" x14ac:dyDescent="0.2">
      <c r="A107" s="406" t="s">
        <v>4940</v>
      </c>
      <c r="B107" s="406" t="s">
        <v>4943</v>
      </c>
      <c r="C107" s="505">
        <f>'Budget &amp; Costs'!D65</f>
        <v>0</v>
      </c>
      <c r="D107" t="s">
        <v>4949</v>
      </c>
    </row>
    <row r="108" spans="1:4" x14ac:dyDescent="0.2">
      <c r="A108" s="406" t="s">
        <v>4939</v>
      </c>
      <c r="B108" s="406" t="s">
        <v>4944</v>
      </c>
      <c r="C108" s="505">
        <f>'Budget &amp; Costs'!D66</f>
        <v>0</v>
      </c>
      <c r="D108" t="s">
        <v>4949</v>
      </c>
    </row>
    <row r="109" spans="1:4" x14ac:dyDescent="0.2">
      <c r="A109" s="406" t="s">
        <v>4938</v>
      </c>
      <c r="B109" s="406" t="s">
        <v>4945</v>
      </c>
      <c r="C109" s="505">
        <f>'Budget &amp; Costs'!D67</f>
        <v>0</v>
      </c>
      <c r="D109" t="s">
        <v>4949</v>
      </c>
    </row>
    <row r="110" spans="1:4" x14ac:dyDescent="0.2">
      <c r="A110" s="406" t="s">
        <v>4937</v>
      </c>
      <c r="B110" s="406" t="s">
        <v>4946</v>
      </c>
      <c r="C110" s="505">
        <f>'Budget &amp; Costs'!D68</f>
        <v>0</v>
      </c>
      <c r="D110" t="s">
        <v>4949</v>
      </c>
    </row>
    <row r="111" spans="1:4" x14ac:dyDescent="0.2">
      <c r="A111" s="406" t="s">
        <v>4936</v>
      </c>
      <c r="B111" s="406" t="s">
        <v>4947</v>
      </c>
      <c r="C111" s="505">
        <f>'Budget &amp; Costs'!D69</f>
        <v>0</v>
      </c>
      <c r="D111" t="s">
        <v>4949</v>
      </c>
    </row>
    <row r="112" spans="1:4" x14ac:dyDescent="0.2">
      <c r="A112" s="406" t="s">
        <v>4935</v>
      </c>
      <c r="B112" s="406" t="s">
        <v>4948</v>
      </c>
      <c r="C112" s="505">
        <f>'Budget &amp; Costs'!D70</f>
        <v>0</v>
      </c>
      <c r="D112" t="s">
        <v>4949</v>
      </c>
    </row>
    <row r="113" spans="1:4" x14ac:dyDescent="0.2">
      <c r="A113" s="402" t="s">
        <v>3155</v>
      </c>
      <c r="B113" s="402"/>
      <c r="C113" s="506">
        <f>'Project Details'!C240</f>
        <v>0</v>
      </c>
      <c r="D113" t="s">
        <v>3175</v>
      </c>
    </row>
    <row r="114" spans="1:4" x14ac:dyDescent="0.2">
      <c r="A114" s="402" t="s">
        <v>3156</v>
      </c>
      <c r="B114" s="402"/>
      <c r="C114" s="506">
        <f>'Project Details'!C241</f>
        <v>0</v>
      </c>
      <c r="D114" t="s">
        <v>3175</v>
      </c>
    </row>
    <row r="115" spans="1:4" x14ac:dyDescent="0.2">
      <c r="A115" s="402" t="s">
        <v>4036</v>
      </c>
      <c r="B115" s="402"/>
      <c r="C115" s="506">
        <f>'Project Details'!C242</f>
        <v>0</v>
      </c>
      <c r="D115" t="s">
        <v>3175</v>
      </c>
    </row>
    <row r="116" spans="1:4" x14ac:dyDescent="0.2">
      <c r="A116" s="402" t="s">
        <v>3154</v>
      </c>
      <c r="B116" s="402"/>
      <c r="C116" s="506">
        <f>'Project Details'!C243</f>
        <v>0</v>
      </c>
      <c r="D116" t="s">
        <v>3175</v>
      </c>
    </row>
    <row r="117" spans="1:4" x14ac:dyDescent="0.2">
      <c r="A117" s="402" t="s">
        <v>3157</v>
      </c>
      <c r="B117" s="402"/>
      <c r="C117" s="506">
        <f>'Project Details'!C244</f>
        <v>0</v>
      </c>
      <c r="D117" t="s">
        <v>3175</v>
      </c>
    </row>
    <row r="118" spans="1:4" x14ac:dyDescent="0.2">
      <c r="A118" s="402" t="s">
        <v>3158</v>
      </c>
      <c r="B118" s="402"/>
      <c r="C118" s="506">
        <f>'Project Details'!C245</f>
        <v>0</v>
      </c>
      <c r="D118" t="s">
        <v>3175</v>
      </c>
    </row>
    <row r="119" spans="1:4" x14ac:dyDescent="0.2">
      <c r="A119" s="402" t="s">
        <v>3159</v>
      </c>
      <c r="B119" s="402"/>
      <c r="C119" s="506">
        <f>'Project Details'!C246</f>
        <v>0</v>
      </c>
      <c r="D119" t="s">
        <v>3175</v>
      </c>
    </row>
    <row r="120" spans="1:4" x14ac:dyDescent="0.2">
      <c r="A120" s="402" t="s">
        <v>3160</v>
      </c>
      <c r="B120" s="402"/>
      <c r="C120" s="506">
        <f>'Project Details'!C247</f>
        <v>0</v>
      </c>
      <c r="D120" t="s">
        <v>3175</v>
      </c>
    </row>
    <row r="121" spans="1:4" x14ac:dyDescent="0.2">
      <c r="A121" s="402" t="s">
        <v>4556</v>
      </c>
      <c r="B121" s="402"/>
      <c r="C121" s="506">
        <f>'Project Details'!C248</f>
        <v>0</v>
      </c>
      <c r="D121" t="s">
        <v>3175</v>
      </c>
    </row>
    <row r="122" spans="1:4" x14ac:dyDescent="0.2">
      <c r="A122" s="402" t="s">
        <v>3161</v>
      </c>
      <c r="B122" s="402"/>
      <c r="C122" s="506">
        <f>'Project Details'!C249</f>
        <v>0</v>
      </c>
      <c r="D122" t="s">
        <v>3175</v>
      </c>
    </row>
    <row r="123" spans="1:4" x14ac:dyDescent="0.2">
      <c r="A123" s="402" t="s">
        <v>3162</v>
      </c>
      <c r="B123" s="402"/>
      <c r="C123" s="506">
        <f>'Project Details'!C250</f>
        <v>0</v>
      </c>
      <c r="D123" t="s">
        <v>3175</v>
      </c>
    </row>
    <row r="124" spans="1:4" x14ac:dyDescent="0.2">
      <c r="A124" s="402" t="s">
        <v>3163</v>
      </c>
      <c r="B124" s="402"/>
      <c r="C124" s="506">
        <f>'Project Details'!C251</f>
        <v>0</v>
      </c>
      <c r="D124" t="s">
        <v>3175</v>
      </c>
    </row>
    <row r="125" spans="1:4" x14ac:dyDescent="0.2">
      <c r="A125" s="402" t="s">
        <v>3164</v>
      </c>
      <c r="B125" s="402"/>
      <c r="C125" s="506">
        <f>'Project Details'!C252</f>
        <v>0</v>
      </c>
      <c r="D125" t="s">
        <v>3175</v>
      </c>
    </row>
    <row r="126" spans="1:4" x14ac:dyDescent="0.2">
      <c r="A126" s="402" t="s">
        <v>3165</v>
      </c>
      <c r="B126" s="402"/>
      <c r="C126" s="506">
        <f>'Project Details'!C253</f>
        <v>0</v>
      </c>
      <c r="D126" t="s">
        <v>3175</v>
      </c>
    </row>
    <row r="127" spans="1:4" x14ac:dyDescent="0.2">
      <c r="A127" s="402" t="s">
        <v>3166</v>
      </c>
      <c r="B127" s="402"/>
      <c r="C127" s="506">
        <f>'Project Details'!C254</f>
        <v>0</v>
      </c>
      <c r="D127" t="s">
        <v>3175</v>
      </c>
    </row>
    <row r="128" spans="1:4" x14ac:dyDescent="0.2">
      <c r="A128" s="402" t="s">
        <v>3167</v>
      </c>
      <c r="B128" s="402"/>
      <c r="C128" s="506">
        <f>'Project Details'!C255</f>
        <v>0</v>
      </c>
      <c r="D128" t="s">
        <v>3175</v>
      </c>
    </row>
    <row r="129" spans="1:4" x14ac:dyDescent="0.2">
      <c r="A129" s="402" t="s">
        <v>3168</v>
      </c>
      <c r="B129" s="402"/>
      <c r="C129" s="506">
        <f>'Project Details'!C256</f>
        <v>0</v>
      </c>
      <c r="D129" t="s">
        <v>3175</v>
      </c>
    </row>
    <row r="130" spans="1:4" x14ac:dyDescent="0.2">
      <c r="A130" s="402" t="s">
        <v>3169</v>
      </c>
      <c r="B130" s="402"/>
      <c r="C130" s="506" t="str">
        <f>'Project Details'!C257</f>
        <v>Input needed</v>
      </c>
      <c r="D130" t="s">
        <v>3175</v>
      </c>
    </row>
    <row r="131" spans="1:4" x14ac:dyDescent="0.2">
      <c r="A131" s="402" t="s">
        <v>3170</v>
      </c>
      <c r="B131" s="402"/>
      <c r="C131" s="506">
        <f>'Project Details'!C258</f>
        <v>0</v>
      </c>
      <c r="D131" t="s">
        <v>3175</v>
      </c>
    </row>
    <row r="132" spans="1:4" x14ac:dyDescent="0.2">
      <c r="A132" s="402" t="s">
        <v>4245</v>
      </c>
      <c r="B132" s="402"/>
      <c r="C132" s="506" t="str">
        <f>'Project Details'!C259</f>
        <v>[Complete Budget Tab]</v>
      </c>
      <c r="D132" t="s">
        <v>3175</v>
      </c>
    </row>
    <row r="133" spans="1:4" x14ac:dyDescent="0.2">
      <c r="A133" s="850" t="s">
        <v>4249</v>
      </c>
      <c r="B133" s="850"/>
      <c r="C133" s="851">
        <f>'Project Details'!C214</f>
        <v>0</v>
      </c>
      <c r="D133" t="s">
        <v>5043</v>
      </c>
    </row>
    <row r="134" spans="1:4" x14ac:dyDescent="0.2">
      <c r="A134" s="850" t="s">
        <v>4250</v>
      </c>
      <c r="B134" s="850"/>
      <c r="C134" s="851">
        <f>'Project Details'!D214</f>
        <v>0</v>
      </c>
      <c r="D134" t="s">
        <v>5043</v>
      </c>
    </row>
    <row r="135" spans="1:4" x14ac:dyDescent="0.2">
      <c r="A135" s="850" t="s">
        <v>4251</v>
      </c>
      <c r="B135" s="850"/>
      <c r="C135" s="851">
        <f>'Project Details'!E214</f>
        <v>0</v>
      </c>
      <c r="D135" t="s">
        <v>5043</v>
      </c>
    </row>
    <row r="136" spans="1:4" x14ac:dyDescent="0.2">
      <c r="A136" s="850" t="s">
        <v>4252</v>
      </c>
      <c r="B136" s="850"/>
      <c r="C136" s="851">
        <f>'Project Details'!F214</f>
        <v>0</v>
      </c>
      <c r="D136" t="s">
        <v>5043</v>
      </c>
    </row>
    <row r="137" spans="1:4" x14ac:dyDescent="0.2">
      <c r="A137" s="850" t="s">
        <v>4269</v>
      </c>
      <c r="B137" s="850"/>
      <c r="C137" s="851">
        <f>'Project Details'!G214</f>
        <v>0</v>
      </c>
      <c r="D137" t="s">
        <v>5043</v>
      </c>
    </row>
    <row r="138" spans="1:4" x14ac:dyDescent="0.2">
      <c r="A138" s="850" t="s">
        <v>4270</v>
      </c>
      <c r="B138" s="850"/>
      <c r="C138" s="851">
        <f>'Project Details'!H214</f>
        <v>0</v>
      </c>
      <c r="D138" t="s">
        <v>5043</v>
      </c>
    </row>
    <row r="139" spans="1:4" x14ac:dyDescent="0.2">
      <c r="A139" s="850" t="s">
        <v>4253</v>
      </c>
      <c r="B139" s="850"/>
      <c r="C139" s="851">
        <f>'Project Details'!C215</f>
        <v>0</v>
      </c>
      <c r="D139" t="s">
        <v>5043</v>
      </c>
    </row>
    <row r="140" spans="1:4" x14ac:dyDescent="0.2">
      <c r="A140" s="850" t="s">
        <v>4254</v>
      </c>
      <c r="B140" s="850"/>
      <c r="C140" s="851">
        <f>'Project Details'!D215</f>
        <v>0</v>
      </c>
      <c r="D140" t="s">
        <v>5043</v>
      </c>
    </row>
    <row r="141" spans="1:4" x14ac:dyDescent="0.2">
      <c r="A141" s="850" t="s">
        <v>4255</v>
      </c>
      <c r="B141" s="850"/>
      <c r="C141" s="851">
        <f>'Project Details'!E215</f>
        <v>0</v>
      </c>
      <c r="D141" t="s">
        <v>5043</v>
      </c>
    </row>
    <row r="142" spans="1:4" x14ac:dyDescent="0.2">
      <c r="A142" s="850" t="s">
        <v>4256</v>
      </c>
      <c r="B142" s="850"/>
      <c r="C142" s="851">
        <f>'Project Details'!F215</f>
        <v>0</v>
      </c>
      <c r="D142" t="s">
        <v>5043</v>
      </c>
    </row>
    <row r="143" spans="1:4" x14ac:dyDescent="0.2">
      <c r="A143" s="850" t="s">
        <v>4271</v>
      </c>
      <c r="B143" s="850"/>
      <c r="C143" s="851">
        <f>'Project Details'!G215</f>
        <v>0</v>
      </c>
      <c r="D143" t="s">
        <v>5043</v>
      </c>
    </row>
    <row r="144" spans="1:4" x14ac:dyDescent="0.2">
      <c r="A144" s="850" t="s">
        <v>4272</v>
      </c>
      <c r="B144" s="850"/>
      <c r="C144" s="851">
        <f>'Project Details'!H215</f>
        <v>0</v>
      </c>
      <c r="D144" t="s">
        <v>5043</v>
      </c>
    </row>
    <row r="145" spans="1:4" x14ac:dyDescent="0.2">
      <c r="A145" s="850" t="s">
        <v>4257</v>
      </c>
      <c r="B145" s="850"/>
      <c r="C145" s="851">
        <f>'Project Details'!C216</f>
        <v>0</v>
      </c>
      <c r="D145" t="s">
        <v>5043</v>
      </c>
    </row>
    <row r="146" spans="1:4" x14ac:dyDescent="0.2">
      <c r="A146" s="850" t="s">
        <v>4258</v>
      </c>
      <c r="B146" s="850"/>
      <c r="C146" s="851">
        <f>'Project Details'!D216</f>
        <v>0</v>
      </c>
      <c r="D146" t="s">
        <v>5043</v>
      </c>
    </row>
    <row r="147" spans="1:4" x14ac:dyDescent="0.2">
      <c r="A147" s="850" t="s">
        <v>4259</v>
      </c>
      <c r="B147" s="850"/>
      <c r="C147" s="851">
        <f>'Project Details'!E216</f>
        <v>0</v>
      </c>
      <c r="D147" t="s">
        <v>5043</v>
      </c>
    </row>
    <row r="148" spans="1:4" x14ac:dyDescent="0.2">
      <c r="A148" s="850" t="s">
        <v>4260</v>
      </c>
      <c r="B148" s="850"/>
      <c r="C148" s="851">
        <f>'Project Details'!F216</f>
        <v>0</v>
      </c>
      <c r="D148" t="s">
        <v>5043</v>
      </c>
    </row>
    <row r="149" spans="1:4" x14ac:dyDescent="0.2">
      <c r="A149" s="850" t="s">
        <v>4273</v>
      </c>
      <c r="B149" s="850"/>
      <c r="C149" s="851">
        <f>'Project Details'!G216</f>
        <v>0</v>
      </c>
      <c r="D149" t="s">
        <v>5043</v>
      </c>
    </row>
    <row r="150" spans="1:4" x14ac:dyDescent="0.2">
      <c r="A150" s="850" t="s">
        <v>4274</v>
      </c>
      <c r="B150" s="850"/>
      <c r="C150" s="851">
        <f>'Project Details'!H216</f>
        <v>0</v>
      </c>
      <c r="D150" t="s">
        <v>5043</v>
      </c>
    </row>
    <row r="151" spans="1:4" x14ac:dyDescent="0.2">
      <c r="A151" s="850" t="s">
        <v>4261</v>
      </c>
      <c r="B151" s="850"/>
      <c r="C151" s="851">
        <f>'Project Details'!C217</f>
        <v>0</v>
      </c>
      <c r="D151" t="s">
        <v>5043</v>
      </c>
    </row>
    <row r="152" spans="1:4" x14ac:dyDescent="0.2">
      <c r="A152" s="850" t="s">
        <v>4262</v>
      </c>
      <c r="B152" s="850"/>
      <c r="C152" s="851">
        <f>'Project Details'!D217</f>
        <v>0</v>
      </c>
      <c r="D152" t="s">
        <v>5043</v>
      </c>
    </row>
    <row r="153" spans="1:4" x14ac:dyDescent="0.2">
      <c r="A153" s="850" t="s">
        <v>4263</v>
      </c>
      <c r="B153" s="850"/>
      <c r="C153" s="851">
        <f>'Project Details'!E217</f>
        <v>0</v>
      </c>
      <c r="D153" t="s">
        <v>5043</v>
      </c>
    </row>
    <row r="154" spans="1:4" x14ac:dyDescent="0.2">
      <c r="A154" s="850" t="s">
        <v>4264</v>
      </c>
      <c r="B154" s="850"/>
      <c r="C154" s="851">
        <f>'Project Details'!F217</f>
        <v>0</v>
      </c>
      <c r="D154" t="s">
        <v>5043</v>
      </c>
    </row>
    <row r="155" spans="1:4" x14ac:dyDescent="0.2">
      <c r="A155" s="850" t="s">
        <v>4275</v>
      </c>
      <c r="B155" s="850"/>
      <c r="C155" s="851">
        <f>'Project Details'!G217</f>
        <v>0</v>
      </c>
      <c r="D155" t="s">
        <v>5043</v>
      </c>
    </row>
    <row r="156" spans="1:4" x14ac:dyDescent="0.2">
      <c r="A156" s="850" t="s">
        <v>4276</v>
      </c>
      <c r="B156" s="850"/>
      <c r="C156" s="851">
        <f>'Project Details'!H217</f>
        <v>0</v>
      </c>
      <c r="D156" t="s">
        <v>5043</v>
      </c>
    </row>
    <row r="157" spans="1:4" x14ac:dyDescent="0.2">
      <c r="A157" s="850" t="s">
        <v>4265</v>
      </c>
      <c r="B157" s="850"/>
      <c r="C157" s="851">
        <f>'Project Details'!C218</f>
        <v>0</v>
      </c>
      <c r="D157" t="s">
        <v>5043</v>
      </c>
    </row>
    <row r="158" spans="1:4" x14ac:dyDescent="0.2">
      <c r="A158" s="850" t="s">
        <v>4266</v>
      </c>
      <c r="B158" s="850"/>
      <c r="C158" s="851">
        <f>'Project Details'!D218</f>
        <v>0</v>
      </c>
      <c r="D158" t="s">
        <v>5043</v>
      </c>
    </row>
    <row r="159" spans="1:4" x14ac:dyDescent="0.2">
      <c r="A159" s="850" t="s">
        <v>4267</v>
      </c>
      <c r="B159" s="850"/>
      <c r="C159" s="851">
        <f>'Project Details'!E218</f>
        <v>0</v>
      </c>
      <c r="D159" t="s">
        <v>5043</v>
      </c>
    </row>
    <row r="160" spans="1:4" x14ac:dyDescent="0.2">
      <c r="A160" s="850" t="s">
        <v>4268</v>
      </c>
      <c r="B160" s="850"/>
      <c r="C160" s="851">
        <f>'Project Details'!F218</f>
        <v>0</v>
      </c>
      <c r="D160" t="s">
        <v>5043</v>
      </c>
    </row>
    <row r="161" spans="1:4" x14ac:dyDescent="0.2">
      <c r="A161" s="850" t="s">
        <v>4277</v>
      </c>
      <c r="B161" s="850"/>
      <c r="C161" s="851">
        <f>'Project Details'!G218</f>
        <v>0</v>
      </c>
      <c r="D161" t="s">
        <v>5043</v>
      </c>
    </row>
    <row r="162" spans="1:4" x14ac:dyDescent="0.2">
      <c r="A162" s="850" t="s">
        <v>4278</v>
      </c>
      <c r="B162" s="850"/>
      <c r="C162" s="851">
        <f>'Project Details'!H218</f>
        <v>0</v>
      </c>
      <c r="D162" t="s">
        <v>5043</v>
      </c>
    </row>
    <row r="163" spans="1:4" x14ac:dyDescent="0.2">
      <c r="A163" s="850" t="s">
        <v>4282</v>
      </c>
      <c r="B163" s="850"/>
      <c r="C163" s="851" t="str">
        <f>'Project Details'!P187</f>
        <v>Enter Floors</v>
      </c>
      <c r="D163" t="s">
        <v>5043</v>
      </c>
    </row>
    <row r="164" spans="1:4" x14ac:dyDescent="0.2">
      <c r="A164" s="403" t="s">
        <v>4122</v>
      </c>
      <c r="B164" s="403" t="s">
        <v>4605</v>
      </c>
      <c r="C164" s="507">
        <f>'Development Team'!D36</f>
        <v>0</v>
      </c>
      <c r="D164" t="s">
        <v>4328</v>
      </c>
    </row>
    <row r="165" spans="1:4" x14ac:dyDescent="0.2">
      <c r="A165" s="403" t="s">
        <v>4123</v>
      </c>
      <c r="B165" s="403"/>
      <c r="C165" s="507">
        <f>'Development Team'!D37</f>
        <v>0</v>
      </c>
      <c r="D165" t="s">
        <v>4328</v>
      </c>
    </row>
    <row r="166" spans="1:4" x14ac:dyDescent="0.2">
      <c r="A166" s="403" t="s">
        <v>4124</v>
      </c>
      <c r="B166" s="403"/>
      <c r="C166" s="507">
        <f>'Development Team'!D38</f>
        <v>0</v>
      </c>
      <c r="D166" t="s">
        <v>4328</v>
      </c>
    </row>
    <row r="167" spans="1:4" x14ac:dyDescent="0.2">
      <c r="A167" s="403" t="s">
        <v>4125</v>
      </c>
      <c r="B167" s="403"/>
      <c r="C167" s="507">
        <f>'Development Team'!D39</f>
        <v>0</v>
      </c>
      <c r="D167" t="s">
        <v>4328</v>
      </c>
    </row>
    <row r="168" spans="1:4" x14ac:dyDescent="0.2">
      <c r="A168" s="403" t="s">
        <v>4126</v>
      </c>
      <c r="B168" s="403"/>
      <c r="C168" s="507">
        <f>'Development Team'!D40</f>
        <v>0</v>
      </c>
      <c r="D168" t="s">
        <v>4328</v>
      </c>
    </row>
    <row r="169" spans="1:4" x14ac:dyDescent="0.2">
      <c r="A169" s="403" t="s">
        <v>4127</v>
      </c>
      <c r="B169" s="403"/>
      <c r="C169" s="507">
        <f>'Development Team'!D41</f>
        <v>0</v>
      </c>
      <c r="D169" t="s">
        <v>4328</v>
      </c>
    </row>
    <row r="170" spans="1:4" x14ac:dyDescent="0.2">
      <c r="A170" s="403" t="s">
        <v>4128</v>
      </c>
      <c r="B170" s="403"/>
      <c r="C170" s="507">
        <f>'Development Team'!D42</f>
        <v>0</v>
      </c>
      <c r="D170" t="s">
        <v>4328</v>
      </c>
    </row>
    <row r="171" spans="1:4" x14ac:dyDescent="0.2">
      <c r="A171" s="403" t="s">
        <v>4319</v>
      </c>
      <c r="B171" s="403"/>
      <c r="C171" s="507">
        <f>'Development Team'!D44</f>
        <v>0</v>
      </c>
      <c r="D171" t="s">
        <v>4328</v>
      </c>
    </row>
    <row r="172" spans="1:4" x14ac:dyDescent="0.2">
      <c r="A172" s="403" t="s">
        <v>3618</v>
      </c>
      <c r="B172" s="403"/>
      <c r="C172" s="507">
        <f>'Development Team'!D45</f>
        <v>0</v>
      </c>
      <c r="D172" t="s">
        <v>4328</v>
      </c>
    </row>
    <row r="173" spans="1:4" x14ac:dyDescent="0.2">
      <c r="A173" s="403" t="s">
        <v>4129</v>
      </c>
      <c r="B173" s="403" t="s">
        <v>4617</v>
      </c>
      <c r="C173" s="507" t="str">
        <f>IF('Development Team'!G130="Yes","Yes",IF('Development Team'!G131="Yes","Yes","No"))</f>
        <v>No</v>
      </c>
      <c r="D173" t="s">
        <v>4328</v>
      </c>
    </row>
    <row r="174" spans="1:4" x14ac:dyDescent="0.2">
      <c r="A174" s="403" t="s">
        <v>3918</v>
      </c>
      <c r="B174" s="403" t="s">
        <v>4618</v>
      </c>
      <c r="C174" s="507" t="str">
        <f>IF('Development Team'!G131="Yes","Yes",IF('Development Team'!G151="Yes","Yes","No"))</f>
        <v>No</v>
      </c>
      <c r="D174" t="s">
        <v>4328</v>
      </c>
    </row>
    <row r="175" spans="1:4" x14ac:dyDescent="0.2">
      <c r="A175" s="403" t="s">
        <v>4320</v>
      </c>
      <c r="B175" s="403"/>
      <c r="C175" s="507">
        <f>'Development Team'!G50</f>
        <v>0</v>
      </c>
      <c r="D175" t="s">
        <v>4328</v>
      </c>
    </row>
    <row r="176" spans="1:4" x14ac:dyDescent="0.2">
      <c r="A176" s="403" t="s">
        <v>4321</v>
      </c>
      <c r="B176" s="403"/>
      <c r="C176" s="507">
        <f>'Development Team'!G51</f>
        <v>0</v>
      </c>
      <c r="D176" t="s">
        <v>4328</v>
      </c>
    </row>
    <row r="177" spans="1:4" x14ac:dyDescent="0.2">
      <c r="A177" s="403" t="s">
        <v>4130</v>
      </c>
      <c r="B177" s="403"/>
      <c r="C177" s="507">
        <f>'Development Team'!G54</f>
        <v>0</v>
      </c>
      <c r="D177" t="s">
        <v>4328</v>
      </c>
    </row>
    <row r="178" spans="1:4" x14ac:dyDescent="0.2">
      <c r="A178" s="403" t="s">
        <v>4131</v>
      </c>
      <c r="B178" s="403"/>
      <c r="C178" s="507">
        <f>'Development Team'!G55</f>
        <v>0</v>
      </c>
      <c r="D178" t="s">
        <v>4328</v>
      </c>
    </row>
    <row r="179" spans="1:4" x14ac:dyDescent="0.2">
      <c r="A179" s="403" t="s">
        <v>4322</v>
      </c>
      <c r="B179" s="403"/>
      <c r="C179" s="507">
        <f>'Development Team'!G38</f>
        <v>0</v>
      </c>
      <c r="D179" t="s">
        <v>4328</v>
      </c>
    </row>
    <row r="180" spans="1:4" x14ac:dyDescent="0.2">
      <c r="A180" s="403" t="s">
        <v>4323</v>
      </c>
      <c r="B180" s="403"/>
      <c r="C180" s="507">
        <f>'Development Team'!G39</f>
        <v>0</v>
      </c>
      <c r="D180" t="s">
        <v>4328</v>
      </c>
    </row>
    <row r="181" spans="1:4" x14ac:dyDescent="0.2">
      <c r="A181" s="403" t="s">
        <v>4132</v>
      </c>
      <c r="B181" s="403"/>
      <c r="C181" s="507">
        <f>'Development Team'!G42</f>
        <v>0</v>
      </c>
      <c r="D181" t="s">
        <v>4328</v>
      </c>
    </row>
    <row r="182" spans="1:4" x14ac:dyDescent="0.2">
      <c r="A182" s="403" t="s">
        <v>4133</v>
      </c>
      <c r="B182" s="403"/>
      <c r="C182" s="507">
        <f>'Development Team'!G43</f>
        <v>0</v>
      </c>
      <c r="D182" t="s">
        <v>4328</v>
      </c>
    </row>
    <row r="183" spans="1:4" x14ac:dyDescent="0.2">
      <c r="A183" s="403" t="s">
        <v>4573</v>
      </c>
      <c r="B183" s="403"/>
      <c r="C183" s="507">
        <f>'Development Team'!D50</f>
        <v>0</v>
      </c>
      <c r="D183" t="s">
        <v>4328</v>
      </c>
    </row>
    <row r="184" spans="1:4" x14ac:dyDescent="0.2">
      <c r="A184" s="403" t="s">
        <v>4324</v>
      </c>
      <c r="B184" s="403"/>
      <c r="C184" s="507">
        <f>'Development Team'!D51</f>
        <v>0</v>
      </c>
      <c r="D184" t="s">
        <v>4328</v>
      </c>
    </row>
    <row r="185" spans="1:4" x14ac:dyDescent="0.2">
      <c r="A185" s="403" t="s">
        <v>4134</v>
      </c>
      <c r="B185" s="403"/>
      <c r="C185" s="507">
        <f>'Development Team'!D54</f>
        <v>0</v>
      </c>
      <c r="D185" t="s">
        <v>4328</v>
      </c>
    </row>
    <row r="186" spans="1:4" x14ac:dyDescent="0.2">
      <c r="A186" s="403" t="s">
        <v>4135</v>
      </c>
      <c r="B186" s="403"/>
      <c r="C186" s="507">
        <f>'Development Team'!D55</f>
        <v>0</v>
      </c>
      <c r="D186" t="s">
        <v>4328</v>
      </c>
    </row>
    <row r="187" spans="1:4" x14ac:dyDescent="0.2">
      <c r="A187" s="403" t="s">
        <v>3861</v>
      </c>
      <c r="B187" s="403" t="s">
        <v>4611</v>
      </c>
      <c r="C187" s="507">
        <f>'Development Team'!D183</f>
        <v>0</v>
      </c>
      <c r="D187" t="s">
        <v>4328</v>
      </c>
    </row>
    <row r="188" spans="1:4" x14ac:dyDescent="0.2">
      <c r="A188" s="403" t="s">
        <v>4574</v>
      </c>
      <c r="B188" s="403"/>
      <c r="C188" s="507" t="str">
        <f>CONCATENATE('Development Team'!G183," ",'Development Team'!G184)</f>
        <v xml:space="preserve"> </v>
      </c>
      <c r="D188" t="s">
        <v>4328</v>
      </c>
    </row>
    <row r="189" spans="1:4" x14ac:dyDescent="0.2">
      <c r="A189" s="403" t="s">
        <v>4575</v>
      </c>
      <c r="B189" s="403"/>
      <c r="C189" s="507">
        <f>'Development Team'!G186</f>
        <v>0</v>
      </c>
      <c r="D189" t="s">
        <v>4328</v>
      </c>
    </row>
    <row r="190" spans="1:4" x14ac:dyDescent="0.2">
      <c r="A190" s="403" t="s">
        <v>4576</v>
      </c>
      <c r="B190" s="403"/>
      <c r="C190" s="507">
        <f>'Development Team'!G187</f>
        <v>0</v>
      </c>
      <c r="D190" t="s">
        <v>4328</v>
      </c>
    </row>
    <row r="191" spans="1:4" x14ac:dyDescent="0.2">
      <c r="A191" s="403" t="s">
        <v>4577</v>
      </c>
      <c r="B191" s="403" t="s">
        <v>4612</v>
      </c>
      <c r="C191" s="507">
        <f>'Development Team'!D58</f>
        <v>0</v>
      </c>
      <c r="D191" t="s">
        <v>4328</v>
      </c>
    </row>
    <row r="192" spans="1:4" x14ac:dyDescent="0.2">
      <c r="A192" s="403" t="s">
        <v>4333</v>
      </c>
      <c r="B192" s="403"/>
      <c r="C192" s="508">
        <f>'Development Team'!D68</f>
        <v>0</v>
      </c>
      <c r="D192" t="s">
        <v>4328</v>
      </c>
    </row>
    <row r="193" spans="1:4" x14ac:dyDescent="0.2">
      <c r="A193" s="403" t="s">
        <v>4578</v>
      </c>
      <c r="B193" s="403"/>
      <c r="C193" s="507">
        <f>'Development Team'!D73</f>
        <v>0</v>
      </c>
      <c r="D193" t="s">
        <v>4328</v>
      </c>
    </row>
    <row r="194" spans="1:4" x14ac:dyDescent="0.2">
      <c r="A194" s="403" t="s">
        <v>4334</v>
      </c>
      <c r="B194" s="403"/>
      <c r="C194" s="508">
        <f>'Development Team'!D83</f>
        <v>0</v>
      </c>
      <c r="D194" t="s">
        <v>4328</v>
      </c>
    </row>
    <row r="195" spans="1:4" x14ac:dyDescent="0.2">
      <c r="A195" s="403" t="s">
        <v>4335</v>
      </c>
      <c r="B195" s="403"/>
      <c r="C195" s="508">
        <f>'Development Team'!D86</f>
        <v>0</v>
      </c>
      <c r="D195" t="s">
        <v>4328</v>
      </c>
    </row>
    <row r="196" spans="1:4" x14ac:dyDescent="0.2">
      <c r="A196" s="403" t="s">
        <v>4336</v>
      </c>
      <c r="B196" s="403"/>
      <c r="C196" s="508">
        <f>'Development Team'!D96</f>
        <v>0</v>
      </c>
      <c r="D196" t="s">
        <v>4328</v>
      </c>
    </row>
    <row r="197" spans="1:4" x14ac:dyDescent="0.2">
      <c r="A197" s="403" t="s">
        <v>4337</v>
      </c>
      <c r="B197" s="403"/>
      <c r="C197" s="508">
        <f>'Development Team'!D99</f>
        <v>0</v>
      </c>
      <c r="D197" t="s">
        <v>4328</v>
      </c>
    </row>
    <row r="198" spans="1:4" x14ac:dyDescent="0.2">
      <c r="A198" s="403" t="s">
        <v>4338</v>
      </c>
      <c r="B198" s="403"/>
      <c r="C198" s="508">
        <f>'Development Team'!D109</f>
        <v>0</v>
      </c>
      <c r="D198" t="s">
        <v>4328</v>
      </c>
    </row>
    <row r="199" spans="1:4" x14ac:dyDescent="0.2">
      <c r="A199" s="403" t="s">
        <v>3756</v>
      </c>
      <c r="B199" s="403" t="s">
        <v>4609</v>
      </c>
      <c r="C199" s="507">
        <f>'Development Team'!D6</f>
        <v>0</v>
      </c>
      <c r="D199" t="s">
        <v>4328</v>
      </c>
    </row>
    <row r="200" spans="1:4" x14ac:dyDescent="0.2">
      <c r="A200" s="403" t="s">
        <v>3757</v>
      </c>
      <c r="B200" s="403"/>
      <c r="C200" s="507">
        <f>'Development Team'!J6</f>
        <v>0</v>
      </c>
      <c r="D200" t="s">
        <v>4328</v>
      </c>
    </row>
    <row r="201" spans="1:4" x14ac:dyDescent="0.2">
      <c r="A201" s="403" t="s">
        <v>3860</v>
      </c>
      <c r="B201" s="403" t="s">
        <v>4607</v>
      </c>
      <c r="C201" s="507">
        <f>'Development Team'!D21</f>
        <v>0</v>
      </c>
      <c r="D201" t="s">
        <v>4328</v>
      </c>
    </row>
    <row r="202" spans="1:4" x14ac:dyDescent="0.2">
      <c r="A202" s="403" t="s">
        <v>4308</v>
      </c>
      <c r="B202" s="403"/>
      <c r="C202" s="403">
        <f>'Development Team'!G29</f>
        <v>0</v>
      </c>
      <c r="D202" t="s">
        <v>4328</v>
      </c>
    </row>
    <row r="203" spans="1:4" x14ac:dyDescent="0.2">
      <c r="A203" s="403" t="s">
        <v>3862</v>
      </c>
      <c r="B203" s="403"/>
      <c r="C203" s="507">
        <f>'Development Team'!D174</f>
        <v>0</v>
      </c>
      <c r="D203" t="s">
        <v>4328</v>
      </c>
    </row>
    <row r="204" spans="1:4" x14ac:dyDescent="0.2">
      <c r="A204" s="403" t="s">
        <v>3101</v>
      </c>
      <c r="B204" s="403" t="s">
        <v>4608</v>
      </c>
      <c r="C204" s="507">
        <f>'Development Team'!D17</f>
        <v>0</v>
      </c>
      <c r="D204" t="s">
        <v>4328</v>
      </c>
    </row>
    <row r="205" spans="1:4" x14ac:dyDescent="0.2">
      <c r="A205" s="403" t="s">
        <v>3784</v>
      </c>
      <c r="B205" s="403" t="s">
        <v>4606</v>
      </c>
      <c r="C205" s="507">
        <f>'Development Team'!D154</f>
        <v>0</v>
      </c>
      <c r="D205" t="s">
        <v>4328</v>
      </c>
    </row>
    <row r="206" spans="1:4" x14ac:dyDescent="0.2">
      <c r="A206" s="403" t="s">
        <v>5022</v>
      </c>
      <c r="B206" s="403"/>
      <c r="C206" s="507">
        <f>'Development Team'!D164</f>
        <v>0</v>
      </c>
      <c r="D206" t="s">
        <v>4328</v>
      </c>
    </row>
    <row r="207" spans="1:4" x14ac:dyDescent="0.2">
      <c r="A207" s="403" t="s">
        <v>3634</v>
      </c>
      <c r="B207" s="403" t="s">
        <v>4610</v>
      </c>
      <c r="C207" s="507">
        <f>'Development Team'!J37</f>
        <v>0</v>
      </c>
      <c r="D207" t="s">
        <v>4328</v>
      </c>
    </row>
    <row r="208" spans="1:4" x14ac:dyDescent="0.2">
      <c r="A208" s="403" t="s">
        <v>4579</v>
      </c>
      <c r="B208" s="403"/>
      <c r="C208" s="507">
        <f>'Development Team'!J38</f>
        <v>0</v>
      </c>
      <c r="D208" t="s">
        <v>4328</v>
      </c>
    </row>
    <row r="209" spans="1:4" x14ac:dyDescent="0.2">
      <c r="A209" s="403" t="s">
        <v>4580</v>
      </c>
      <c r="B209" s="403"/>
      <c r="C209" s="507">
        <f>'Development Team'!J39</f>
        <v>0</v>
      </c>
      <c r="D209" t="s">
        <v>4328</v>
      </c>
    </row>
    <row r="210" spans="1:4" x14ac:dyDescent="0.2">
      <c r="A210" s="403" t="s">
        <v>4582</v>
      </c>
      <c r="B210" s="403"/>
      <c r="C210" s="507">
        <f>'Development Team'!J41</f>
        <v>0</v>
      </c>
      <c r="D210" t="s">
        <v>4328</v>
      </c>
    </row>
    <row r="211" spans="1:4" x14ac:dyDescent="0.2">
      <c r="A211" s="403" t="s">
        <v>4581</v>
      </c>
      <c r="B211" s="403"/>
      <c r="C211" s="507">
        <f>'Development Team'!J42</f>
        <v>0</v>
      </c>
      <c r="D211" t="s">
        <v>4328</v>
      </c>
    </row>
    <row r="212" spans="1:4" x14ac:dyDescent="0.2">
      <c r="A212" s="403" t="s">
        <v>5023</v>
      </c>
      <c r="B212" s="403"/>
      <c r="C212" s="507">
        <f>'Development Team'!J44</f>
        <v>0</v>
      </c>
      <c r="D212" t="s">
        <v>4328</v>
      </c>
    </row>
    <row r="213" spans="1:4" x14ac:dyDescent="0.2">
      <c r="A213" s="403" t="s">
        <v>5024</v>
      </c>
      <c r="B213" s="403"/>
      <c r="C213" s="507">
        <f>'Development Team'!M46</f>
        <v>0</v>
      </c>
      <c r="D213" t="s">
        <v>4328</v>
      </c>
    </row>
    <row r="214" spans="1:4" x14ac:dyDescent="0.2">
      <c r="A214" s="403" t="s">
        <v>5025</v>
      </c>
      <c r="B214" s="403"/>
      <c r="C214" s="507">
        <f>'Development Team'!M47</f>
        <v>0</v>
      </c>
      <c r="D214" t="s">
        <v>4328</v>
      </c>
    </row>
    <row r="215" spans="1:4" x14ac:dyDescent="0.2">
      <c r="A215" s="390" t="s">
        <v>3343</v>
      </c>
      <c r="B215" s="404"/>
      <c r="C215" s="509">
        <f>'Budget &amp; Costs'!S335</f>
        <v>0</v>
      </c>
      <c r="D215" t="s">
        <v>4327</v>
      </c>
    </row>
    <row r="216" spans="1:4" x14ac:dyDescent="0.2">
      <c r="A216" s="390" t="s">
        <v>3344</v>
      </c>
      <c r="B216" s="404"/>
      <c r="C216" s="509">
        <f>'Budget &amp; Costs'!S336</f>
        <v>0</v>
      </c>
      <c r="D216" t="s">
        <v>4327</v>
      </c>
    </row>
    <row r="217" spans="1:4" x14ac:dyDescent="0.2">
      <c r="A217" s="390" t="s">
        <v>3345</v>
      </c>
      <c r="B217" s="404"/>
      <c r="C217" s="509">
        <f>'Budget &amp; Costs'!S337</f>
        <v>0</v>
      </c>
      <c r="D217" t="s">
        <v>4327</v>
      </c>
    </row>
    <row r="218" spans="1:4" x14ac:dyDescent="0.2">
      <c r="A218" s="390" t="s">
        <v>4143</v>
      </c>
      <c r="B218" s="404"/>
      <c r="C218" s="509">
        <f>'Budget &amp; Costs'!S338</f>
        <v>0</v>
      </c>
      <c r="D218" t="s">
        <v>4327</v>
      </c>
    </row>
    <row r="219" spans="1:4" x14ac:dyDescent="0.2">
      <c r="A219" s="390" t="s">
        <v>4143</v>
      </c>
      <c r="B219" s="404"/>
      <c r="C219" s="509">
        <f>'Budget &amp; Costs'!S339</f>
        <v>0</v>
      </c>
      <c r="D219" t="s">
        <v>4327</v>
      </c>
    </row>
    <row r="220" spans="1:4" x14ac:dyDescent="0.2">
      <c r="A220" s="390" t="s">
        <v>3346</v>
      </c>
      <c r="B220" s="390"/>
      <c r="C220" s="509">
        <f>'Budget &amp; Costs'!S341</f>
        <v>0</v>
      </c>
      <c r="D220" t="s">
        <v>4327</v>
      </c>
    </row>
    <row r="221" spans="1:4" x14ac:dyDescent="0.2">
      <c r="A221" s="390" t="s">
        <v>3347</v>
      </c>
      <c r="B221" s="390"/>
      <c r="C221" s="509">
        <f>'Budget &amp; Costs'!S342</f>
        <v>0</v>
      </c>
      <c r="D221" t="s">
        <v>4327</v>
      </c>
    </row>
    <row r="222" spans="1:4" x14ac:dyDescent="0.2">
      <c r="A222" s="390" t="s">
        <v>3348</v>
      </c>
      <c r="B222" s="390"/>
      <c r="C222" s="509">
        <f>'Budget &amp; Costs'!S343</f>
        <v>0</v>
      </c>
      <c r="D222" t="s">
        <v>4327</v>
      </c>
    </row>
    <row r="223" spans="1:4" x14ac:dyDescent="0.2">
      <c r="A223" s="390" t="s">
        <v>3349</v>
      </c>
      <c r="B223" s="390"/>
      <c r="C223" s="509">
        <f>'Budget &amp; Costs'!S344</f>
        <v>0</v>
      </c>
      <c r="D223" t="s">
        <v>4327</v>
      </c>
    </row>
    <row r="224" spans="1:4" x14ac:dyDescent="0.2">
      <c r="A224" s="390" t="s">
        <v>3350</v>
      </c>
      <c r="B224" s="390"/>
      <c r="C224" s="509">
        <f>'Budget &amp; Costs'!S345</f>
        <v>0</v>
      </c>
      <c r="D224" t="s">
        <v>4327</v>
      </c>
    </row>
    <row r="225" spans="1:4" x14ac:dyDescent="0.2">
      <c r="A225" s="390" t="s">
        <v>3351</v>
      </c>
      <c r="B225" s="390"/>
      <c r="C225" s="509">
        <f>'Budget &amp; Costs'!S346</f>
        <v>0</v>
      </c>
      <c r="D225" t="s">
        <v>4327</v>
      </c>
    </row>
    <row r="226" spans="1:4" x14ac:dyDescent="0.2">
      <c r="A226" s="390" t="s">
        <v>3352</v>
      </c>
      <c r="B226" s="390"/>
      <c r="C226" s="509">
        <f>'Budget &amp; Costs'!S347</f>
        <v>0</v>
      </c>
      <c r="D226" t="s">
        <v>4327</v>
      </c>
    </row>
    <row r="227" spans="1:4" x14ac:dyDescent="0.2">
      <c r="A227" s="390" t="s">
        <v>4144</v>
      </c>
      <c r="B227" s="390"/>
      <c r="C227" s="509">
        <f>'Budget &amp; Costs'!S348</f>
        <v>0</v>
      </c>
      <c r="D227" t="s">
        <v>4327</v>
      </c>
    </row>
    <row r="228" spans="1:4" x14ac:dyDescent="0.2">
      <c r="A228" s="390" t="s">
        <v>4144</v>
      </c>
      <c r="B228" s="390"/>
      <c r="C228" s="509">
        <f>'Budget &amp; Costs'!S349</f>
        <v>0</v>
      </c>
      <c r="D228" t="s">
        <v>4327</v>
      </c>
    </row>
    <row r="229" spans="1:4" x14ac:dyDescent="0.2">
      <c r="A229" s="390" t="s">
        <v>3353</v>
      </c>
      <c r="B229" s="390"/>
      <c r="C229" s="509">
        <f>'Budget &amp; Costs'!S351</f>
        <v>0</v>
      </c>
      <c r="D229" t="s">
        <v>4327</v>
      </c>
    </row>
    <row r="230" spans="1:4" x14ac:dyDescent="0.2">
      <c r="A230" s="390" t="s">
        <v>3354</v>
      </c>
      <c r="B230" s="390"/>
      <c r="C230" s="509">
        <f>'Budget &amp; Costs'!S352</f>
        <v>0</v>
      </c>
      <c r="D230" t="s">
        <v>4327</v>
      </c>
    </row>
    <row r="231" spans="1:4" x14ac:dyDescent="0.2">
      <c r="A231" s="390" t="s">
        <v>3355</v>
      </c>
      <c r="B231" s="390"/>
      <c r="C231" s="509">
        <f>'Budget &amp; Costs'!S353</f>
        <v>0</v>
      </c>
      <c r="D231" t="s">
        <v>4327</v>
      </c>
    </row>
    <row r="232" spans="1:4" x14ac:dyDescent="0.2">
      <c r="A232" s="390" t="s">
        <v>4145</v>
      </c>
      <c r="B232" s="390"/>
      <c r="C232" s="509">
        <f>'Budget &amp; Costs'!S355</f>
        <v>0</v>
      </c>
      <c r="D232" t="s">
        <v>4327</v>
      </c>
    </row>
    <row r="233" spans="1:4" x14ac:dyDescent="0.2">
      <c r="A233" s="390" t="s">
        <v>4145</v>
      </c>
      <c r="B233" s="390"/>
      <c r="C233" s="509">
        <f>'Budget &amp; Costs'!S356</f>
        <v>0</v>
      </c>
      <c r="D233" t="s">
        <v>4327</v>
      </c>
    </row>
    <row r="234" spans="1:4" x14ac:dyDescent="0.2">
      <c r="A234" s="390" t="s">
        <v>3356</v>
      </c>
      <c r="B234" s="390"/>
      <c r="C234" s="509">
        <f>'Budget &amp; Costs'!S358</f>
        <v>0</v>
      </c>
      <c r="D234" t="s">
        <v>4327</v>
      </c>
    </row>
    <row r="235" spans="1:4" x14ac:dyDescent="0.2">
      <c r="A235" s="390" t="s">
        <v>3357</v>
      </c>
      <c r="B235" s="390"/>
      <c r="C235" s="509">
        <f>'Budget &amp; Costs'!S359</f>
        <v>0</v>
      </c>
      <c r="D235" t="s">
        <v>4327</v>
      </c>
    </row>
    <row r="236" spans="1:4" x14ac:dyDescent="0.2">
      <c r="A236" s="390" t="s">
        <v>3358</v>
      </c>
      <c r="B236" s="390"/>
      <c r="C236" s="509">
        <f>'Budget &amp; Costs'!S360</f>
        <v>0</v>
      </c>
      <c r="D236" t="s">
        <v>4327</v>
      </c>
    </row>
    <row r="237" spans="1:4" x14ac:dyDescent="0.2">
      <c r="A237" s="390" t="s">
        <v>3390</v>
      </c>
      <c r="B237" s="390"/>
      <c r="C237" s="509">
        <f>'Budget &amp; Costs'!S361</f>
        <v>0</v>
      </c>
      <c r="D237" t="s">
        <v>4327</v>
      </c>
    </row>
    <row r="238" spans="1:4" x14ac:dyDescent="0.2">
      <c r="A238" s="390" t="s">
        <v>3359</v>
      </c>
      <c r="B238" s="390"/>
      <c r="C238" s="509">
        <f>'Budget &amp; Costs'!S362</f>
        <v>0</v>
      </c>
      <c r="D238" t="s">
        <v>4327</v>
      </c>
    </row>
    <row r="239" spans="1:4" x14ac:dyDescent="0.2">
      <c r="A239" s="390" t="s">
        <v>3360</v>
      </c>
      <c r="B239" s="390"/>
      <c r="C239" s="509">
        <f>'Budget &amp; Costs'!S363</f>
        <v>0</v>
      </c>
      <c r="D239" t="s">
        <v>4327</v>
      </c>
    </row>
    <row r="240" spans="1:4" x14ac:dyDescent="0.2">
      <c r="A240" s="390" t="s">
        <v>3361</v>
      </c>
      <c r="B240" s="390"/>
      <c r="C240" s="509">
        <f>'Budget &amp; Costs'!S364</f>
        <v>0</v>
      </c>
      <c r="D240" t="s">
        <v>4327</v>
      </c>
    </row>
    <row r="241" spans="1:4" x14ac:dyDescent="0.2">
      <c r="A241" s="390" t="s">
        <v>3362</v>
      </c>
      <c r="B241" s="390"/>
      <c r="C241" s="509">
        <f>'Budget &amp; Costs'!S365</f>
        <v>0</v>
      </c>
      <c r="D241" t="s">
        <v>4327</v>
      </c>
    </row>
    <row r="242" spans="1:4" x14ac:dyDescent="0.2">
      <c r="A242" s="390" t="s">
        <v>3363</v>
      </c>
      <c r="B242" s="390"/>
      <c r="C242" s="509">
        <f>'Budget &amp; Costs'!S366</f>
        <v>0</v>
      </c>
      <c r="D242" t="s">
        <v>4327</v>
      </c>
    </row>
    <row r="243" spans="1:4" x14ac:dyDescent="0.2">
      <c r="A243" s="390" t="s">
        <v>3364</v>
      </c>
      <c r="B243" s="390"/>
      <c r="C243" s="509">
        <f>'Budget &amp; Costs'!S367</f>
        <v>0</v>
      </c>
      <c r="D243" t="s">
        <v>4327</v>
      </c>
    </row>
    <row r="244" spans="1:4" x14ac:dyDescent="0.2">
      <c r="A244" s="390" t="s">
        <v>3365</v>
      </c>
      <c r="B244" s="390"/>
      <c r="C244" s="509">
        <f>'Budget &amp; Costs'!S368</f>
        <v>0</v>
      </c>
      <c r="D244" t="s">
        <v>4327</v>
      </c>
    </row>
    <row r="245" spans="1:4" x14ac:dyDescent="0.2">
      <c r="A245" s="390" t="s">
        <v>3366</v>
      </c>
      <c r="B245" s="390"/>
      <c r="C245" s="509">
        <f>'Budget &amp; Costs'!S369</f>
        <v>0</v>
      </c>
      <c r="D245" t="s">
        <v>4327</v>
      </c>
    </row>
    <row r="246" spans="1:4" x14ac:dyDescent="0.2">
      <c r="A246" s="390" t="s">
        <v>4146</v>
      </c>
      <c r="B246" s="390"/>
      <c r="C246" s="509">
        <f>'Budget &amp; Costs'!S370</f>
        <v>0</v>
      </c>
      <c r="D246" t="s">
        <v>4327</v>
      </c>
    </row>
    <row r="247" spans="1:4" x14ac:dyDescent="0.2">
      <c r="A247" s="390" t="s">
        <v>4146</v>
      </c>
      <c r="B247" s="390"/>
      <c r="C247" s="509">
        <f>'Budget &amp; Costs'!S371</f>
        <v>0</v>
      </c>
      <c r="D247" t="s">
        <v>4327</v>
      </c>
    </row>
    <row r="248" spans="1:4" x14ac:dyDescent="0.2">
      <c r="A248" s="390" t="s">
        <v>3367</v>
      </c>
      <c r="B248" s="390"/>
      <c r="C248" s="509">
        <f>'Budget &amp; Costs'!S373</f>
        <v>0</v>
      </c>
      <c r="D248" t="s">
        <v>4327</v>
      </c>
    </row>
    <row r="249" spans="1:4" x14ac:dyDescent="0.2">
      <c r="A249" s="390" t="s">
        <v>3368</v>
      </c>
      <c r="B249" s="390"/>
      <c r="C249" s="509">
        <f>'Budget &amp; Costs'!S374</f>
        <v>0</v>
      </c>
      <c r="D249" t="s">
        <v>4327</v>
      </c>
    </row>
    <row r="250" spans="1:4" x14ac:dyDescent="0.2">
      <c r="A250" s="390" t="s">
        <v>3369</v>
      </c>
      <c r="B250" s="390"/>
      <c r="C250" s="509">
        <f>'Budget &amp; Costs'!S375</f>
        <v>0</v>
      </c>
      <c r="D250" t="s">
        <v>4327</v>
      </c>
    </row>
    <row r="251" spans="1:4" x14ac:dyDescent="0.2">
      <c r="A251" s="390" t="s">
        <v>3370</v>
      </c>
      <c r="B251" s="390"/>
      <c r="C251" s="509">
        <f>'Budget &amp; Costs'!S376</f>
        <v>0</v>
      </c>
      <c r="D251" t="s">
        <v>4327</v>
      </c>
    </row>
    <row r="252" spans="1:4" x14ac:dyDescent="0.2">
      <c r="A252" s="390" t="s">
        <v>3371</v>
      </c>
      <c r="B252" s="390"/>
      <c r="C252" s="509">
        <f>'Budget &amp; Costs'!S377</f>
        <v>0</v>
      </c>
      <c r="D252" t="s">
        <v>4327</v>
      </c>
    </row>
    <row r="253" spans="1:4" x14ac:dyDescent="0.2">
      <c r="A253" s="390" t="s">
        <v>3372</v>
      </c>
      <c r="B253" s="390"/>
      <c r="C253" s="509">
        <f>'Budget &amp; Costs'!S378</f>
        <v>0</v>
      </c>
      <c r="D253" t="s">
        <v>4327</v>
      </c>
    </row>
    <row r="254" spans="1:4" x14ac:dyDescent="0.2">
      <c r="A254" s="390" t="s">
        <v>3373</v>
      </c>
      <c r="B254" s="390"/>
      <c r="C254" s="509">
        <f>'Budget &amp; Costs'!S379</f>
        <v>0</v>
      </c>
      <c r="D254" t="s">
        <v>4327</v>
      </c>
    </row>
    <row r="255" spans="1:4" x14ac:dyDescent="0.2">
      <c r="A255" s="390" t="s">
        <v>4112</v>
      </c>
      <c r="B255" s="390"/>
      <c r="C255" s="509">
        <f>'Budget &amp; Costs'!S380</f>
        <v>0</v>
      </c>
      <c r="D255" t="s">
        <v>4327</v>
      </c>
    </row>
    <row r="256" spans="1:4" x14ac:dyDescent="0.2">
      <c r="A256" s="390" t="s">
        <v>4147</v>
      </c>
      <c r="B256" s="390"/>
      <c r="C256" s="509">
        <f>'Budget &amp; Costs'!S381</f>
        <v>0</v>
      </c>
      <c r="D256" t="s">
        <v>4327</v>
      </c>
    </row>
    <row r="257" spans="1:4" x14ac:dyDescent="0.2">
      <c r="A257" s="390" t="s">
        <v>4147</v>
      </c>
      <c r="B257" s="390"/>
      <c r="C257" s="509">
        <f>'Budget &amp; Costs'!S382</f>
        <v>0</v>
      </c>
      <c r="D257" t="s">
        <v>4327</v>
      </c>
    </row>
    <row r="258" spans="1:4" x14ac:dyDescent="0.2">
      <c r="A258" s="390" t="s">
        <v>3374</v>
      </c>
      <c r="B258" s="390"/>
      <c r="C258" s="509">
        <f>'Budget &amp; Costs'!S384</f>
        <v>0</v>
      </c>
      <c r="D258" t="s">
        <v>4327</v>
      </c>
    </row>
    <row r="259" spans="1:4" x14ac:dyDescent="0.2">
      <c r="A259" s="390" t="s">
        <v>3375</v>
      </c>
      <c r="B259" s="390"/>
      <c r="C259" s="509">
        <f>'Budget &amp; Costs'!S385</f>
        <v>0</v>
      </c>
      <c r="D259" t="s">
        <v>4327</v>
      </c>
    </row>
    <row r="260" spans="1:4" x14ac:dyDescent="0.2">
      <c r="A260" s="390" t="s">
        <v>3988</v>
      </c>
      <c r="B260" s="390"/>
      <c r="C260" s="509">
        <f>'Budget &amp; Costs'!S386</f>
        <v>0</v>
      </c>
      <c r="D260" t="s">
        <v>4327</v>
      </c>
    </row>
    <row r="261" spans="1:4" x14ac:dyDescent="0.2">
      <c r="A261" s="390" t="s">
        <v>4069</v>
      </c>
      <c r="B261" s="390"/>
      <c r="C261" s="509">
        <f>'Budget &amp; Costs'!S387</f>
        <v>0</v>
      </c>
      <c r="D261" t="s">
        <v>4327</v>
      </c>
    </row>
    <row r="262" spans="1:4" x14ac:dyDescent="0.2">
      <c r="A262" s="390" t="s">
        <v>3989</v>
      </c>
      <c r="B262" s="390"/>
      <c r="C262" s="509">
        <f>'Budget &amp; Costs'!S388</f>
        <v>0</v>
      </c>
      <c r="D262" t="s">
        <v>4327</v>
      </c>
    </row>
    <row r="263" spans="1:4" x14ac:dyDescent="0.2">
      <c r="A263" s="390" t="s">
        <v>3990</v>
      </c>
      <c r="B263" s="390"/>
      <c r="C263" s="509">
        <f>'Budget &amp; Costs'!S389</f>
        <v>0</v>
      </c>
      <c r="D263" t="s">
        <v>4327</v>
      </c>
    </row>
    <row r="264" spans="1:4" x14ac:dyDescent="0.2">
      <c r="A264" s="390" t="s">
        <v>3991</v>
      </c>
      <c r="B264" s="390"/>
      <c r="C264" s="509">
        <f>'Budget &amp; Costs'!S390</f>
        <v>0</v>
      </c>
      <c r="D264" t="s">
        <v>4327</v>
      </c>
    </row>
    <row r="265" spans="1:4" x14ac:dyDescent="0.2">
      <c r="A265" s="390" t="s">
        <v>3376</v>
      </c>
      <c r="B265" s="390"/>
      <c r="C265" s="509">
        <f>'Budget &amp; Costs'!S391</f>
        <v>0</v>
      </c>
      <c r="D265" t="s">
        <v>4327</v>
      </c>
    </row>
    <row r="266" spans="1:4" x14ac:dyDescent="0.2">
      <c r="A266" s="390" t="s">
        <v>3377</v>
      </c>
      <c r="B266" s="390"/>
      <c r="C266" s="509">
        <f>'Budget &amp; Costs'!S392</f>
        <v>0</v>
      </c>
      <c r="D266" t="s">
        <v>4327</v>
      </c>
    </row>
    <row r="267" spans="1:4" x14ac:dyDescent="0.2">
      <c r="A267" s="390" t="s">
        <v>4113</v>
      </c>
      <c r="B267" s="390"/>
      <c r="C267" s="509">
        <f>'Budget &amp; Costs'!S393</f>
        <v>0</v>
      </c>
      <c r="D267" t="s">
        <v>4327</v>
      </c>
    </row>
    <row r="268" spans="1:4" x14ac:dyDescent="0.2">
      <c r="A268" s="390" t="s">
        <v>4148</v>
      </c>
      <c r="B268" s="390"/>
      <c r="C268" s="509">
        <f>'Budget &amp; Costs'!S394</f>
        <v>0</v>
      </c>
      <c r="D268" t="s">
        <v>4327</v>
      </c>
    </row>
    <row r="269" spans="1:4" x14ac:dyDescent="0.2">
      <c r="A269" s="390" t="s">
        <v>4148</v>
      </c>
      <c r="B269" s="390"/>
      <c r="C269" s="509">
        <f>'Budget &amp; Costs'!S395</f>
        <v>0</v>
      </c>
      <c r="D269" t="s">
        <v>4327</v>
      </c>
    </row>
    <row r="270" spans="1:4" x14ac:dyDescent="0.2">
      <c r="A270" s="390" t="s">
        <v>3378</v>
      </c>
      <c r="B270" s="390"/>
      <c r="C270" s="509">
        <f>'Budget &amp; Costs'!S397</f>
        <v>0</v>
      </c>
      <c r="D270" t="s">
        <v>4327</v>
      </c>
    </row>
    <row r="271" spans="1:4" x14ac:dyDescent="0.2">
      <c r="A271" s="390" t="s">
        <v>3379</v>
      </c>
      <c r="B271" s="390"/>
      <c r="C271" s="509">
        <f>'Budget &amp; Costs'!S398</f>
        <v>0</v>
      </c>
      <c r="D271" t="s">
        <v>4327</v>
      </c>
    </row>
    <row r="272" spans="1:4" x14ac:dyDescent="0.2">
      <c r="A272" s="390" t="s">
        <v>3380</v>
      </c>
      <c r="B272" s="390"/>
      <c r="C272" s="509">
        <f>'Budget &amp; Costs'!S399</f>
        <v>0</v>
      </c>
      <c r="D272" t="s">
        <v>4327</v>
      </c>
    </row>
    <row r="273" spans="1:4" x14ac:dyDescent="0.2">
      <c r="A273" s="390" t="s">
        <v>4149</v>
      </c>
      <c r="B273" s="390"/>
      <c r="C273" s="509">
        <f>'Budget &amp; Costs'!S400</f>
        <v>0</v>
      </c>
      <c r="D273" t="s">
        <v>4327</v>
      </c>
    </row>
    <row r="274" spans="1:4" x14ac:dyDescent="0.2">
      <c r="A274" s="390" t="s">
        <v>4149</v>
      </c>
      <c r="B274" s="390"/>
      <c r="C274" s="509">
        <f>'Budget &amp; Costs'!S401</f>
        <v>0</v>
      </c>
      <c r="D274" t="s">
        <v>4327</v>
      </c>
    </row>
    <row r="275" spans="1:4" x14ac:dyDescent="0.2">
      <c r="A275" s="390" t="s">
        <v>3381</v>
      </c>
      <c r="B275" s="390"/>
      <c r="C275" s="509">
        <f>'Budget &amp; Costs'!S403</f>
        <v>0</v>
      </c>
      <c r="D275" t="s">
        <v>4327</v>
      </c>
    </row>
    <row r="276" spans="1:4" x14ac:dyDescent="0.2">
      <c r="A276" s="390" t="s">
        <v>3382</v>
      </c>
      <c r="B276" s="390"/>
      <c r="C276" s="509">
        <f>'Budget &amp; Costs'!S404</f>
        <v>0</v>
      </c>
      <c r="D276" t="s">
        <v>4327</v>
      </c>
    </row>
    <row r="277" spans="1:4" x14ac:dyDescent="0.2">
      <c r="A277" s="390" t="s">
        <v>4150</v>
      </c>
      <c r="B277" s="390"/>
      <c r="C277" s="509">
        <f>'Budget &amp; Costs'!S405</f>
        <v>0</v>
      </c>
      <c r="D277" t="s">
        <v>4327</v>
      </c>
    </row>
    <row r="278" spans="1:4" x14ac:dyDescent="0.2">
      <c r="A278" s="390" t="s">
        <v>4150</v>
      </c>
      <c r="B278" s="390"/>
      <c r="C278" s="509">
        <f>'Budget &amp; Costs'!S406</f>
        <v>0</v>
      </c>
      <c r="D278" t="s">
        <v>4327</v>
      </c>
    </row>
    <row r="279" spans="1:4" x14ac:dyDescent="0.2">
      <c r="A279" s="390" t="s">
        <v>4142</v>
      </c>
      <c r="B279" s="390"/>
      <c r="C279" s="509">
        <f>'Budget &amp; Costs'!S408</f>
        <v>0</v>
      </c>
      <c r="D279" t="s">
        <v>4327</v>
      </c>
    </row>
    <row r="280" spans="1:4" x14ac:dyDescent="0.2">
      <c r="A280" s="390" t="s">
        <v>4138</v>
      </c>
      <c r="B280" s="390"/>
      <c r="C280" s="510" t="e">
        <f>'Budget &amp; Costs'!S408/'Budget &amp; Costs'!C45</f>
        <v>#DIV/0!</v>
      </c>
      <c r="D280" t="s">
        <v>4327</v>
      </c>
    </row>
    <row r="281" spans="1:4" x14ac:dyDescent="0.2">
      <c r="A281" s="390" t="s">
        <v>4954</v>
      </c>
      <c r="B281" s="390"/>
      <c r="C281" s="510" t="e">
        <f>'Budget &amp; Costs'!S408/'Budget &amp; Costs'!D50</f>
        <v>#DIV/0!</v>
      </c>
      <c r="D281" t="s">
        <v>4327</v>
      </c>
    </row>
    <row r="282" spans="1:4" x14ac:dyDescent="0.2">
      <c r="A282" s="390" t="s">
        <v>4225</v>
      </c>
      <c r="B282" s="390"/>
      <c r="C282" s="509">
        <f>'Budget &amp; Costs'!G242</f>
        <v>0</v>
      </c>
      <c r="D282" t="s">
        <v>4327</v>
      </c>
    </row>
    <row r="283" spans="1:4" x14ac:dyDescent="0.2">
      <c r="A283" s="390" t="s">
        <v>4284</v>
      </c>
      <c r="B283" s="390"/>
      <c r="C283" s="510">
        <f>'Budget &amp; Costs'!G219</f>
        <v>0</v>
      </c>
      <c r="D283" t="s">
        <v>4327</v>
      </c>
    </row>
    <row r="284" spans="1:4" x14ac:dyDescent="0.2">
      <c r="A284" t="s">
        <v>4564</v>
      </c>
      <c r="B284" t="s">
        <v>4615</v>
      </c>
      <c r="C284" s="333" t="str">
        <f>'Budget &amp; Costs'!L195</f>
        <v>Yes</v>
      </c>
      <c r="D284" t="s">
        <v>4327</v>
      </c>
    </row>
    <row r="285" spans="1:4" x14ac:dyDescent="0.2">
      <c r="A285" s="419" t="str">
        <f>'Budget &amp; Costs'!C90</f>
        <v>Annual Rent</v>
      </c>
      <c r="B285" s="419"/>
      <c r="C285" s="513">
        <f>'Budget &amp; Costs'!F90</f>
        <v>0</v>
      </c>
      <c r="D285" t="s">
        <v>4325</v>
      </c>
    </row>
    <row r="286" spans="1:4" x14ac:dyDescent="0.2">
      <c r="A286" s="419" t="str">
        <f>'Budget &amp; Costs'!C91</f>
        <v xml:space="preserve">Annual Residential Fee Income </v>
      </c>
      <c r="B286" s="419"/>
      <c r="C286" s="513">
        <f>'Budget &amp; Costs'!F91</f>
        <v>0</v>
      </c>
      <c r="D286" t="s">
        <v>4325</v>
      </c>
    </row>
    <row r="287" spans="1:4" x14ac:dyDescent="0.2">
      <c r="A287" s="419" t="str">
        <f>'Budget &amp; Costs'!C92</f>
        <v xml:space="preserve">Annual Other Income </v>
      </c>
      <c r="B287" s="419"/>
      <c r="C287" s="513">
        <f>'Budget &amp; Costs'!F92</f>
        <v>0</v>
      </c>
      <c r="D287" t="s">
        <v>4325</v>
      </c>
    </row>
    <row r="288" spans="1:4" x14ac:dyDescent="0.2">
      <c r="A288" s="419" t="str">
        <f>'Budget &amp; Costs'!C93</f>
        <v xml:space="preserve">Annual Commercial Income </v>
      </c>
      <c r="B288" s="419"/>
      <c r="C288" s="513">
        <f>'Budget &amp; Costs'!F93</f>
        <v>0</v>
      </c>
      <c r="D288" t="s">
        <v>4325</v>
      </c>
    </row>
    <row r="289" spans="1:4" x14ac:dyDescent="0.2">
      <c r="A289" s="419" t="str">
        <f>'Budget &amp; Costs'!C94</f>
        <v>Other Rental Income</v>
      </c>
      <c r="B289" s="419"/>
      <c r="C289" s="513">
        <f>'Budget &amp; Costs'!F94</f>
        <v>0</v>
      </c>
      <c r="D289" t="s">
        <v>4325</v>
      </c>
    </row>
    <row r="290" spans="1:4" x14ac:dyDescent="0.2">
      <c r="A290" s="419" t="str">
        <f>'Budget &amp; Costs'!C95</f>
        <v>Annual Vacancy Allowance</v>
      </c>
      <c r="B290" s="419"/>
      <c r="C290" s="513">
        <f>'Budget &amp; Costs'!F95</f>
        <v>0</v>
      </c>
      <c r="D290" t="s">
        <v>4325</v>
      </c>
    </row>
    <row r="291" spans="1:4" x14ac:dyDescent="0.2">
      <c r="A291" s="419" t="s">
        <v>3223</v>
      </c>
      <c r="B291" s="419"/>
      <c r="C291" s="513">
        <f>'Budget &amp; Costs'!F96</f>
        <v>0</v>
      </c>
      <c r="D291" t="s">
        <v>4325</v>
      </c>
    </row>
    <row r="292" spans="1:4" x14ac:dyDescent="0.2">
      <c r="A292" s="419" t="str">
        <f>'Budget &amp; Costs'!C98</f>
        <v>Interest Income</v>
      </c>
      <c r="B292" s="419"/>
      <c r="C292" s="513">
        <f>'Budget &amp; Costs'!F98</f>
        <v>0</v>
      </c>
      <c r="D292" t="s">
        <v>4325</v>
      </c>
    </row>
    <row r="293" spans="1:4" x14ac:dyDescent="0.2">
      <c r="A293" s="419" t="str">
        <f>'Budget &amp; Costs'!C99</f>
        <v xml:space="preserve">Interest from Reserve Accounts </v>
      </c>
      <c r="B293" s="419"/>
      <c r="C293" s="513">
        <f>'Budget &amp; Costs'!F99</f>
        <v>0</v>
      </c>
      <c r="D293" t="s">
        <v>4325</v>
      </c>
    </row>
    <row r="294" spans="1:4" x14ac:dyDescent="0.2">
      <c r="A294" s="419" t="str">
        <f>'Budget &amp; Costs'!C100</f>
        <v>Other Financial Income</v>
      </c>
      <c r="B294" s="419"/>
      <c r="C294" s="513">
        <f>'Budget &amp; Costs'!F100</f>
        <v>0</v>
      </c>
      <c r="D294" t="s">
        <v>4325</v>
      </c>
    </row>
    <row r="295" spans="1:4" x14ac:dyDescent="0.2">
      <c r="A295" s="419" t="s">
        <v>3227</v>
      </c>
      <c r="B295" s="419"/>
      <c r="C295" s="513">
        <f>'Budget &amp; Costs'!F101</f>
        <v>0</v>
      </c>
      <c r="D295" t="s">
        <v>4325</v>
      </c>
    </row>
    <row r="296" spans="1:4" x14ac:dyDescent="0.2">
      <c r="A296" s="419" t="str">
        <f>'Budget &amp; Costs'!C103</f>
        <v>Laundry Revenue</v>
      </c>
      <c r="B296" s="419"/>
      <c r="C296" s="513">
        <f>'Budget &amp; Costs'!F103</f>
        <v>0</v>
      </c>
      <c r="D296" t="s">
        <v>4325</v>
      </c>
    </row>
    <row r="297" spans="1:4" x14ac:dyDescent="0.2">
      <c r="A297" s="419" t="str">
        <f>'Budget &amp; Costs'!C104</f>
        <v>Tenant Charges/Fees</v>
      </c>
      <c r="B297" s="419"/>
      <c r="C297" s="513">
        <f>'Budget &amp; Costs'!F104</f>
        <v>0</v>
      </c>
      <c r="D297" t="s">
        <v>4325</v>
      </c>
    </row>
    <row r="298" spans="1:4" x14ac:dyDescent="0.2">
      <c r="A298" s="419" t="str">
        <f>'Budget &amp; Costs'!C105</f>
        <v>Elderly Care/Service Delivery</v>
      </c>
      <c r="B298" s="419"/>
      <c r="C298" s="513">
        <f>'Budget &amp; Costs'!F105</f>
        <v>0</v>
      </c>
      <c r="D298" t="s">
        <v>4325</v>
      </c>
    </row>
    <row r="299" spans="1:4" x14ac:dyDescent="0.2">
      <c r="A299" s="419" t="str">
        <f>'Budget &amp; Costs'!C106</f>
        <v>Other Service Income 1</v>
      </c>
      <c r="B299" s="419"/>
      <c r="C299" s="513">
        <f>'Budget &amp; Costs'!F106</f>
        <v>0</v>
      </c>
      <c r="D299" t="s">
        <v>4325</v>
      </c>
    </row>
    <row r="300" spans="1:4" x14ac:dyDescent="0.2">
      <c r="A300" s="419" t="str">
        <f>'Budget &amp; Costs'!C107</f>
        <v>Other Service Income 2</v>
      </c>
      <c r="B300" s="419"/>
      <c r="C300" s="513">
        <f>'Budget &amp; Costs'!F107</f>
        <v>0</v>
      </c>
      <c r="D300" t="s">
        <v>4325</v>
      </c>
    </row>
    <row r="301" spans="1:4" x14ac:dyDescent="0.2">
      <c r="A301" s="419" t="str">
        <f>'Budget &amp; Costs'!C108</f>
        <v>Other Service Income 3</v>
      </c>
      <c r="B301" s="419"/>
      <c r="C301" s="513">
        <f>'Budget &amp; Costs'!F108</f>
        <v>0</v>
      </c>
      <c r="D301" t="s">
        <v>4325</v>
      </c>
    </row>
    <row r="302" spans="1:4" x14ac:dyDescent="0.2">
      <c r="A302" s="419" t="s">
        <v>3238</v>
      </c>
      <c r="B302" s="419"/>
      <c r="C302" s="513">
        <f>'Budget &amp; Costs'!F109</f>
        <v>0</v>
      </c>
      <c r="D302" t="s">
        <v>4325</v>
      </c>
    </row>
    <row r="303" spans="1:4" x14ac:dyDescent="0.2">
      <c r="A303" s="419" t="s">
        <v>4950</v>
      </c>
      <c r="B303" s="419"/>
      <c r="C303" s="513">
        <f>'Budget &amp; Costs'!F111</f>
        <v>0</v>
      </c>
      <c r="D303" t="s">
        <v>4325</v>
      </c>
    </row>
    <row r="304" spans="1:4" x14ac:dyDescent="0.2">
      <c r="A304" s="419" t="s">
        <v>4951</v>
      </c>
      <c r="B304" s="419"/>
      <c r="C304" s="513" t="e">
        <f>'Budget &amp; Costs'!G111</f>
        <v>#DIV/0!</v>
      </c>
      <c r="D304" t="s">
        <v>4325</v>
      </c>
    </row>
    <row r="305" spans="1:4" x14ac:dyDescent="0.2">
      <c r="A305" s="419" t="str">
        <f>'Budget &amp; Costs'!C115</f>
        <v>Advertising and Marketing</v>
      </c>
      <c r="B305" s="419"/>
      <c r="C305" s="513">
        <f>'Budget &amp; Costs'!F115</f>
        <v>0</v>
      </c>
      <c r="D305" t="s">
        <v>3872</v>
      </c>
    </row>
    <row r="306" spans="1:4" x14ac:dyDescent="0.2">
      <c r="A306" s="419" t="str">
        <f>'Budget &amp; Costs'!C116</f>
        <v>Office Expenses</v>
      </c>
      <c r="B306" s="419"/>
      <c r="C306" s="513">
        <f>'Budget &amp; Costs'!F116</f>
        <v>0</v>
      </c>
      <c r="D306" t="s">
        <v>3872</v>
      </c>
    </row>
    <row r="307" spans="1:4" x14ac:dyDescent="0.2">
      <c r="A307" s="419" t="str">
        <f>'Budget &amp; Costs'!C117</f>
        <v>Administrative Salaries</v>
      </c>
      <c r="B307" s="419"/>
      <c r="C307" s="513">
        <f>'Budget &amp; Costs'!F117</f>
        <v>0</v>
      </c>
      <c r="D307" t="s">
        <v>3872</v>
      </c>
    </row>
    <row r="308" spans="1:4" x14ac:dyDescent="0.2">
      <c r="A308" s="419" t="str">
        <f>'Budget &amp; Costs'!C118</f>
        <v>Telephone</v>
      </c>
      <c r="B308" s="419"/>
      <c r="C308" s="513">
        <f>'Budget &amp; Costs'!F118</f>
        <v>0</v>
      </c>
      <c r="D308" t="s">
        <v>3872</v>
      </c>
    </row>
    <row r="309" spans="1:4" x14ac:dyDescent="0.2">
      <c r="A309" s="419" t="str">
        <f>'Budget &amp; Costs'!C119</f>
        <v>Management Fee</v>
      </c>
      <c r="B309" s="419"/>
      <c r="C309" s="513">
        <f>'Budget &amp; Costs'!F119</f>
        <v>0</v>
      </c>
      <c r="D309" t="s">
        <v>3872</v>
      </c>
    </row>
    <row r="310" spans="1:4" x14ac:dyDescent="0.2">
      <c r="A310" s="419" t="str">
        <f>'Budget &amp; Costs'!C120</f>
        <v xml:space="preserve">Management Salary </v>
      </c>
      <c r="B310" s="419"/>
      <c r="C310" s="513">
        <f>'Budget &amp; Costs'!F120</f>
        <v>0</v>
      </c>
      <c r="D310" t="s">
        <v>3872</v>
      </c>
    </row>
    <row r="311" spans="1:4" x14ac:dyDescent="0.2">
      <c r="A311" s="419" t="str">
        <f>'Budget &amp; Costs'!C121</f>
        <v>Legal Expense</v>
      </c>
      <c r="B311" s="419"/>
      <c r="C311" s="513">
        <f>'Budget &amp; Costs'!F121</f>
        <v>0</v>
      </c>
      <c r="D311" t="s">
        <v>3872</v>
      </c>
    </row>
    <row r="312" spans="1:4" x14ac:dyDescent="0.2">
      <c r="A312" s="419" t="str">
        <f>'Budget &amp; Costs'!C122</f>
        <v>Audit Expense</v>
      </c>
      <c r="B312" s="419"/>
      <c r="C312" s="513">
        <f>'Budget &amp; Costs'!F122</f>
        <v>0</v>
      </c>
      <c r="D312" t="s">
        <v>3872</v>
      </c>
    </row>
    <row r="313" spans="1:4" x14ac:dyDescent="0.2">
      <c r="A313" s="419" t="str">
        <f>'Budget &amp; Costs'!C123</f>
        <v>Accounting Fees</v>
      </c>
      <c r="B313" s="419"/>
      <c r="C313" s="513">
        <f>'Budget &amp; Costs'!F123</f>
        <v>0</v>
      </c>
      <c r="D313" t="s">
        <v>3872</v>
      </c>
    </row>
    <row r="314" spans="1:4" x14ac:dyDescent="0.2">
      <c r="A314" s="419" t="str">
        <f>'Budget &amp; Costs'!C124</f>
        <v>Bad Debts</v>
      </c>
      <c r="B314" s="419"/>
      <c r="C314" s="513">
        <f>'Budget &amp; Costs'!F124</f>
        <v>0</v>
      </c>
      <c r="D314" t="s">
        <v>3872</v>
      </c>
    </row>
    <row r="315" spans="1:4" x14ac:dyDescent="0.2">
      <c r="A315" s="419" t="str">
        <f>'Budget &amp; Costs'!C125</f>
        <v>Tenant Relations</v>
      </c>
      <c r="B315" s="419"/>
      <c r="C315" s="513">
        <f>'Budget &amp; Costs'!F125</f>
        <v>0</v>
      </c>
      <c r="D315" t="s">
        <v>3872</v>
      </c>
    </row>
    <row r="316" spans="1:4" x14ac:dyDescent="0.2">
      <c r="A316" s="419" t="str">
        <f>'Budget &amp; Costs'!C126</f>
        <v>Misc. Administrative Expenses</v>
      </c>
      <c r="B316" s="419"/>
      <c r="C316" s="513">
        <f>'Budget &amp; Costs'!F126</f>
        <v>0</v>
      </c>
      <c r="D316" t="s">
        <v>3872</v>
      </c>
    </row>
    <row r="317" spans="1:4" x14ac:dyDescent="0.2">
      <c r="A317" s="419" t="str">
        <f>'Budget &amp; Costs'!C127</f>
        <v>Other Admin 1</v>
      </c>
      <c r="B317" s="419"/>
      <c r="C317" s="513">
        <f>'Budget &amp; Costs'!F127</f>
        <v>0</v>
      </c>
      <c r="D317" t="s">
        <v>3872</v>
      </c>
    </row>
    <row r="318" spans="1:4" x14ac:dyDescent="0.2">
      <c r="A318" s="419" t="str">
        <f>'Budget &amp; Costs'!C128</f>
        <v>Other Admin 2</v>
      </c>
      <c r="B318" s="419"/>
      <c r="C318" s="513">
        <f>'Budget &amp; Costs'!F128</f>
        <v>0</v>
      </c>
      <c r="D318" t="s">
        <v>3872</v>
      </c>
    </row>
    <row r="319" spans="1:4" x14ac:dyDescent="0.2">
      <c r="A319" s="419" t="str">
        <f>'Budget &amp; Costs'!C129</f>
        <v>Other Admin 3</v>
      </c>
      <c r="B319" s="419"/>
      <c r="C319" s="513">
        <f>'Budget &amp; Costs'!F129</f>
        <v>0</v>
      </c>
      <c r="D319" t="s">
        <v>3872</v>
      </c>
    </row>
    <row r="320" spans="1:4" x14ac:dyDescent="0.2">
      <c r="A320" s="419" t="s">
        <v>3259</v>
      </c>
      <c r="B320" s="419"/>
      <c r="C320" s="513">
        <f>'Budget &amp; Costs'!F130</f>
        <v>0</v>
      </c>
      <c r="D320" t="s">
        <v>3872</v>
      </c>
    </row>
    <row r="321" spans="1:4" x14ac:dyDescent="0.2">
      <c r="A321" s="419" t="str">
        <f>'Budget &amp; Costs'!C132</f>
        <v>Electricity</v>
      </c>
      <c r="B321" s="419"/>
      <c r="C321" s="513">
        <f>'Budget &amp; Costs'!F132</f>
        <v>0</v>
      </c>
      <c r="D321" t="s">
        <v>3872</v>
      </c>
    </row>
    <row r="322" spans="1:4" x14ac:dyDescent="0.2">
      <c r="A322" s="419" t="str">
        <f>'Budget &amp; Costs'!C133</f>
        <v>Water</v>
      </c>
      <c r="B322" s="419"/>
      <c r="C322" s="513">
        <f>'Budget &amp; Costs'!F133</f>
        <v>0</v>
      </c>
      <c r="D322" t="s">
        <v>3872</v>
      </c>
    </row>
    <row r="323" spans="1:4" x14ac:dyDescent="0.2">
      <c r="A323" s="419" t="str">
        <f>'Budget &amp; Costs'!C134</f>
        <v>Gas</v>
      </c>
      <c r="B323" s="419"/>
      <c r="C323" s="513">
        <f>'Budget &amp; Costs'!F134</f>
        <v>0</v>
      </c>
      <c r="D323" t="s">
        <v>3872</v>
      </c>
    </row>
    <row r="324" spans="1:4" x14ac:dyDescent="0.2">
      <c r="A324" s="419" t="str">
        <f>'Budget &amp; Costs'!C135</f>
        <v>Sewer</v>
      </c>
      <c r="B324" s="419"/>
      <c r="C324" s="513">
        <f>'Budget &amp; Costs'!F135</f>
        <v>0</v>
      </c>
      <c r="D324" t="s">
        <v>3872</v>
      </c>
    </row>
    <row r="325" spans="1:4" x14ac:dyDescent="0.2">
      <c r="A325" s="419" t="str">
        <f>'Budget &amp; Costs'!C136</f>
        <v>Cable/Internet</v>
      </c>
      <c r="B325" s="419"/>
      <c r="C325" s="513">
        <f>'Budget &amp; Costs'!F136</f>
        <v>0</v>
      </c>
      <c r="D325" t="s">
        <v>3872</v>
      </c>
    </row>
    <row r="326" spans="1:4" x14ac:dyDescent="0.2">
      <c r="A326" s="419" t="str">
        <f>'Budget &amp; Costs'!C137</f>
        <v>Other Utility 1</v>
      </c>
      <c r="B326" s="419"/>
      <c r="C326" s="513">
        <f>'Budget &amp; Costs'!F137</f>
        <v>0</v>
      </c>
      <c r="D326" t="s">
        <v>3872</v>
      </c>
    </row>
    <row r="327" spans="1:4" x14ac:dyDescent="0.2">
      <c r="A327" s="419" t="str">
        <f>'Budget &amp; Costs'!C138</f>
        <v>Other Utility 2</v>
      </c>
      <c r="B327" s="419"/>
      <c r="C327" s="513">
        <f>'Budget &amp; Costs'!F138</f>
        <v>0</v>
      </c>
      <c r="D327" t="s">
        <v>3872</v>
      </c>
    </row>
    <row r="328" spans="1:4" x14ac:dyDescent="0.2">
      <c r="A328" s="419" t="s">
        <v>3270</v>
      </c>
      <c r="B328" s="419"/>
      <c r="C328" s="513">
        <f>'Budget &amp; Costs'!F139</f>
        <v>0</v>
      </c>
      <c r="D328" t="s">
        <v>3872</v>
      </c>
    </row>
    <row r="329" spans="1:4" x14ac:dyDescent="0.2">
      <c r="A329" s="419" t="str">
        <f>'Budget &amp; Costs'!C141</f>
        <v>Operating/Maintenance Contracts</v>
      </c>
      <c r="B329" s="419"/>
      <c r="C329" s="513">
        <f>'Budget &amp; Costs'!F141</f>
        <v>0</v>
      </c>
      <c r="D329" t="s">
        <v>3872</v>
      </c>
    </row>
    <row r="330" spans="1:4" x14ac:dyDescent="0.2">
      <c r="A330" s="419" t="str">
        <f>'Budget &amp; Costs'!C142</f>
        <v>Elevator</v>
      </c>
      <c r="B330" s="419"/>
      <c r="C330" s="513">
        <f>'Budget &amp; Costs'!F142</f>
        <v>0</v>
      </c>
      <c r="D330" t="s">
        <v>3872</v>
      </c>
    </row>
    <row r="331" spans="1:4" x14ac:dyDescent="0.2">
      <c r="A331" s="419" t="str">
        <f>'Budget &amp; Costs'!C143</f>
        <v>Garbage/Trash Removal</v>
      </c>
      <c r="B331" s="419"/>
      <c r="C331" s="513">
        <f>'Budget &amp; Costs'!F143</f>
        <v>0</v>
      </c>
      <c r="D331" t="s">
        <v>3872</v>
      </c>
    </row>
    <row r="332" spans="1:4" x14ac:dyDescent="0.2">
      <c r="A332" s="419" t="str">
        <f>'Budget &amp; Costs'!C144</f>
        <v>Van Driver Payroll</v>
      </c>
      <c r="B332" s="419"/>
      <c r="C332" s="513">
        <f>'Budget &amp; Costs'!F144</f>
        <v>0</v>
      </c>
      <c r="D332" t="s">
        <v>3872</v>
      </c>
    </row>
    <row r="333" spans="1:4" x14ac:dyDescent="0.2">
      <c r="A333" s="419" t="str">
        <f>'Budget &amp; Costs'!C145</f>
        <v>Janitor Payroll</v>
      </c>
      <c r="B333" s="419"/>
      <c r="C333" s="513">
        <f>'Budget &amp; Costs'!F145</f>
        <v>0</v>
      </c>
      <c r="D333" t="s">
        <v>3872</v>
      </c>
    </row>
    <row r="334" spans="1:4" x14ac:dyDescent="0.2">
      <c r="A334" s="419" t="str">
        <f>'Budget &amp; Costs'!C146</f>
        <v>Maintenance Payroll</v>
      </c>
      <c r="B334" s="419"/>
      <c r="C334" s="513">
        <f>'Budget &amp; Costs'!F146</f>
        <v>0</v>
      </c>
      <c r="D334" t="s">
        <v>3872</v>
      </c>
    </row>
    <row r="335" spans="1:4" x14ac:dyDescent="0.2">
      <c r="A335" s="419" t="str">
        <f>'Budget &amp; Costs'!C147</f>
        <v>Maintenance Supplies</v>
      </c>
      <c r="B335" s="419"/>
      <c r="C335" s="513">
        <f>'Budget &amp; Costs'!F147</f>
        <v>0</v>
      </c>
      <c r="D335" t="s">
        <v>3872</v>
      </c>
    </row>
    <row r="336" spans="1:4" x14ac:dyDescent="0.2">
      <c r="A336" s="419" t="str">
        <f>'Budget &amp; Costs'!C148</f>
        <v>Painting and Decorating</v>
      </c>
      <c r="B336" s="419"/>
      <c r="C336" s="513">
        <f>'Budget &amp; Costs'!F148</f>
        <v>0</v>
      </c>
      <c r="D336" t="s">
        <v>3872</v>
      </c>
    </row>
    <row r="337" spans="1:4" x14ac:dyDescent="0.2">
      <c r="A337" s="419" t="str">
        <f>'Budget &amp; Costs'!C149</f>
        <v>HVAC Maintenance</v>
      </c>
      <c r="B337" s="419"/>
      <c r="C337" s="513">
        <f>'Budget &amp; Costs'!F149</f>
        <v>0</v>
      </c>
      <c r="D337" t="s">
        <v>3872</v>
      </c>
    </row>
    <row r="338" spans="1:4" x14ac:dyDescent="0.2">
      <c r="A338" s="419" t="str">
        <f>'Budget &amp; Costs'!C150</f>
        <v>Snow Removal/Landscaping</v>
      </c>
      <c r="B338" s="419"/>
      <c r="C338" s="513">
        <f>'Budget &amp; Costs'!F150</f>
        <v>0</v>
      </c>
      <c r="D338" t="s">
        <v>3872</v>
      </c>
    </row>
    <row r="339" spans="1:4" x14ac:dyDescent="0.2">
      <c r="A339" s="419" t="str">
        <f>'Budget &amp; Costs'!C151</f>
        <v xml:space="preserve">Vehicle Operation and Repairs </v>
      </c>
      <c r="B339" s="419"/>
      <c r="C339" s="513">
        <f>'Budget &amp; Costs'!F151</f>
        <v>0</v>
      </c>
      <c r="D339" t="s">
        <v>3872</v>
      </c>
    </row>
    <row r="340" spans="1:4" x14ac:dyDescent="0.2">
      <c r="A340" s="419" t="str">
        <f>'Budget &amp; Costs'!C152</f>
        <v>Rent Concessions/Incentives</v>
      </c>
      <c r="B340" s="419"/>
      <c r="C340" s="513">
        <f>'Budget &amp; Costs'!F152</f>
        <v>0</v>
      </c>
      <c r="D340" t="s">
        <v>3872</v>
      </c>
    </row>
    <row r="341" spans="1:4" x14ac:dyDescent="0.2">
      <c r="A341" s="419" t="str">
        <f>'Budget &amp; Costs'!C153</f>
        <v>Extermination</v>
      </c>
      <c r="B341" s="419"/>
      <c r="C341" s="513">
        <f>'Budget &amp; Costs'!F153</f>
        <v>0</v>
      </c>
      <c r="D341" t="s">
        <v>3872</v>
      </c>
    </row>
    <row r="342" spans="1:4" x14ac:dyDescent="0.2">
      <c r="A342" s="419" t="str">
        <f>'Budget &amp; Costs'!C154</f>
        <v>Ops Other 1</v>
      </c>
      <c r="B342" s="419"/>
      <c r="C342" s="513">
        <f>'Budget &amp; Costs'!F154</f>
        <v>0</v>
      </c>
      <c r="D342" t="s">
        <v>3872</v>
      </c>
    </row>
    <row r="343" spans="1:4" x14ac:dyDescent="0.2">
      <c r="A343" s="419" t="str">
        <f>'Budget &amp; Costs'!C155</f>
        <v>Ops Other 2</v>
      </c>
      <c r="B343" s="419"/>
      <c r="C343" s="513">
        <f>'Budget &amp; Costs'!F155</f>
        <v>0</v>
      </c>
      <c r="D343" t="s">
        <v>3872</v>
      </c>
    </row>
    <row r="344" spans="1:4" x14ac:dyDescent="0.2">
      <c r="A344" s="419" t="str">
        <f>'Budget &amp; Costs'!C156</f>
        <v>Ops Other 3</v>
      </c>
      <c r="B344" s="419"/>
      <c r="C344" s="513">
        <f>'Budget &amp; Costs'!F156</f>
        <v>0</v>
      </c>
      <c r="D344" t="s">
        <v>3872</v>
      </c>
    </row>
    <row r="345" spans="1:4" x14ac:dyDescent="0.2">
      <c r="A345" s="419" t="str">
        <f>'Budget &amp; Costs'!C157</f>
        <v>Ops Other 4</v>
      </c>
      <c r="B345" s="419"/>
      <c r="C345" s="513">
        <f>'Budget &amp; Costs'!F157</f>
        <v>0</v>
      </c>
      <c r="D345" t="s">
        <v>3872</v>
      </c>
    </row>
    <row r="346" spans="1:4" x14ac:dyDescent="0.2">
      <c r="A346" s="419" t="s">
        <v>5038</v>
      </c>
      <c r="B346" s="419"/>
      <c r="C346" s="513">
        <f>'Budget &amp; Costs'!F158</f>
        <v>0</v>
      </c>
      <c r="D346" t="s">
        <v>3872</v>
      </c>
    </row>
    <row r="347" spans="1:4" x14ac:dyDescent="0.2">
      <c r="A347" s="419" t="str">
        <f>'Budget &amp; Costs'!C160</f>
        <v>Real Estate Taxes</v>
      </c>
      <c r="B347" s="419"/>
      <c r="C347" s="513">
        <f>'Budget &amp; Costs'!F160</f>
        <v>0</v>
      </c>
      <c r="D347" t="s">
        <v>3872</v>
      </c>
    </row>
    <row r="348" spans="1:4" x14ac:dyDescent="0.2">
      <c r="A348" s="419" t="str">
        <f>'Budget &amp; Costs'!C161</f>
        <v>Payroll Taxes</v>
      </c>
      <c r="B348" s="419"/>
      <c r="C348" s="513">
        <f>'Budget &amp; Costs'!F161</f>
        <v>0</v>
      </c>
      <c r="D348" t="s">
        <v>3872</v>
      </c>
    </row>
    <row r="349" spans="1:4" x14ac:dyDescent="0.2">
      <c r="A349" s="419" t="str">
        <f>'Budget &amp; Costs'!C162</f>
        <v>Property/Liability Insurance</v>
      </c>
      <c r="B349" s="419"/>
      <c r="C349" s="513">
        <f>'Budget &amp; Costs'!F162</f>
        <v>0</v>
      </c>
      <c r="D349" t="s">
        <v>3872</v>
      </c>
    </row>
    <row r="350" spans="1:4" x14ac:dyDescent="0.2">
      <c r="A350" s="419" t="str">
        <f>'Budget &amp; Costs'!C163</f>
        <v>Fidelity Bond Insurance</v>
      </c>
      <c r="B350" s="419"/>
      <c r="C350" s="513">
        <f>'Budget &amp; Costs'!F163</f>
        <v>0</v>
      </c>
      <c r="D350" t="s">
        <v>3872</v>
      </c>
    </row>
    <row r="351" spans="1:4" x14ac:dyDescent="0.2">
      <c r="A351" s="419" t="str">
        <f>'Budget &amp; Costs'!C164</f>
        <v>Workers Compensation</v>
      </c>
      <c r="B351" s="419"/>
      <c r="C351" s="513">
        <f>'Budget &amp; Costs'!F164</f>
        <v>0</v>
      </c>
      <c r="D351" t="s">
        <v>3872</v>
      </c>
    </row>
    <row r="352" spans="1:4" x14ac:dyDescent="0.2">
      <c r="A352" s="419" t="str">
        <f>'Budget &amp; Costs'!C165</f>
        <v>Health Insurance/Benefits</v>
      </c>
      <c r="B352" s="419"/>
      <c r="C352" s="513">
        <f>'Budget &amp; Costs'!F165</f>
        <v>0</v>
      </c>
      <c r="D352" t="s">
        <v>3872</v>
      </c>
    </row>
    <row r="353" spans="1:4" x14ac:dyDescent="0.2">
      <c r="A353" s="419" t="str">
        <f>'Budget &amp; Costs'!C166</f>
        <v>Misc. Taxes/Insurance/License</v>
      </c>
      <c r="B353" s="419"/>
      <c r="C353" s="513">
        <f>'Budget &amp; Costs'!F166</f>
        <v>0</v>
      </c>
      <c r="D353" t="s">
        <v>3872</v>
      </c>
    </row>
    <row r="354" spans="1:4" x14ac:dyDescent="0.2">
      <c r="A354" s="419" t="str">
        <f>'Budget &amp; Costs'!C167</f>
        <v>Tax/Ins Other 1</v>
      </c>
      <c r="B354" s="419"/>
      <c r="C354" s="513">
        <f>'Budget &amp; Costs'!F167</f>
        <v>0</v>
      </c>
      <c r="D354" t="s">
        <v>3872</v>
      </c>
    </row>
    <row r="355" spans="1:4" x14ac:dyDescent="0.2">
      <c r="A355" s="419" t="str">
        <f>'Budget &amp; Costs'!C168</f>
        <v>Tax/Ins Other 2</v>
      </c>
      <c r="B355" s="419"/>
      <c r="C355" s="513">
        <f>'Budget &amp; Costs'!F168</f>
        <v>0</v>
      </c>
      <c r="D355" t="s">
        <v>3872</v>
      </c>
    </row>
    <row r="356" spans="1:4" x14ac:dyDescent="0.2">
      <c r="A356" s="419" t="str">
        <f>'Budget &amp; Costs'!C169</f>
        <v>Tax/Ins Other 3</v>
      </c>
      <c r="B356" s="419"/>
      <c r="C356" s="513">
        <f>'Budget &amp; Costs'!F169</f>
        <v>0</v>
      </c>
      <c r="D356" t="s">
        <v>3872</v>
      </c>
    </row>
    <row r="357" spans="1:4" x14ac:dyDescent="0.2">
      <c r="A357" s="419" t="s">
        <v>5039</v>
      </c>
      <c r="B357" s="419"/>
      <c r="C357" s="513">
        <f>'Budget &amp; Costs'!F170</f>
        <v>0</v>
      </c>
      <c r="D357" t="s">
        <v>3872</v>
      </c>
    </row>
    <row r="358" spans="1:4" x14ac:dyDescent="0.2">
      <c r="A358" s="419" t="str">
        <f>'Budget &amp; Costs'!C172</f>
        <v>Replacement Reserves</v>
      </c>
      <c r="B358" s="419"/>
      <c r="C358" s="513">
        <f>'Budget &amp; Costs'!F172</f>
        <v>0</v>
      </c>
      <c r="D358" t="s">
        <v>3872</v>
      </c>
    </row>
    <row r="359" spans="1:4" x14ac:dyDescent="0.2">
      <c r="A359" s="419" t="str">
        <f>'Budget &amp; Costs'!C173</f>
        <v>Other 1</v>
      </c>
      <c r="B359" s="419"/>
      <c r="C359" s="513">
        <f>'Budget &amp; Costs'!F173</f>
        <v>0</v>
      </c>
      <c r="D359" t="s">
        <v>3872</v>
      </c>
    </row>
    <row r="360" spans="1:4" x14ac:dyDescent="0.2">
      <c r="A360" s="419" t="str">
        <f>'Budget &amp; Costs'!C174</f>
        <v>Other 2</v>
      </c>
      <c r="B360" s="419"/>
      <c r="C360" s="513">
        <f>'Budget &amp; Costs'!F174</f>
        <v>0</v>
      </c>
      <c r="D360" t="s">
        <v>3872</v>
      </c>
    </row>
    <row r="361" spans="1:4" x14ac:dyDescent="0.2">
      <c r="A361" s="419" t="str">
        <f>'Budget &amp; Costs'!C175</f>
        <v>Other 3</v>
      </c>
      <c r="B361" s="419"/>
      <c r="C361" s="513">
        <f>'Budget &amp; Costs'!F175</f>
        <v>0</v>
      </c>
      <c r="D361" t="s">
        <v>3872</v>
      </c>
    </row>
    <row r="362" spans="1:4" x14ac:dyDescent="0.2">
      <c r="A362" s="419" t="s">
        <v>3305</v>
      </c>
      <c r="B362" s="419"/>
      <c r="C362" s="513">
        <f>'Budget &amp; Costs'!F176</f>
        <v>0</v>
      </c>
      <c r="D362" t="s">
        <v>3872</v>
      </c>
    </row>
    <row r="363" spans="1:4" x14ac:dyDescent="0.2">
      <c r="A363" s="419" t="s">
        <v>5040</v>
      </c>
      <c r="B363" s="419"/>
      <c r="C363" s="513">
        <f>'Budget &amp; Costs'!F178</f>
        <v>0</v>
      </c>
      <c r="D363" t="s">
        <v>4953</v>
      </c>
    </row>
    <row r="364" spans="1:4" x14ac:dyDescent="0.2">
      <c r="A364" s="419" t="s">
        <v>5041</v>
      </c>
      <c r="B364" s="419"/>
      <c r="C364" s="513" t="e">
        <f>'Budget &amp; Costs'!G178</f>
        <v>#DIV/0!</v>
      </c>
      <c r="D364" t="s">
        <v>4953</v>
      </c>
    </row>
    <row r="365" spans="1:4" x14ac:dyDescent="0.2">
      <c r="A365" s="419" t="s">
        <v>3308</v>
      </c>
      <c r="B365" s="419"/>
      <c r="C365" s="513">
        <f>'Budget &amp; Costs'!F180</f>
        <v>0</v>
      </c>
      <c r="D365" t="s">
        <v>4953</v>
      </c>
    </row>
    <row r="366" spans="1:4" x14ac:dyDescent="0.2">
      <c r="A366" s="419" t="s">
        <v>4952</v>
      </c>
      <c r="B366" s="419"/>
      <c r="C366" s="513" t="e">
        <f>'Budget &amp; Costs'!G180</f>
        <v>#DIV/0!</v>
      </c>
      <c r="D366" t="s">
        <v>4953</v>
      </c>
    </row>
    <row r="367" spans="1:4" x14ac:dyDescent="0.2">
      <c r="A367" s="850" t="str">
        <f>'Housing Credits'!B15</f>
        <v>Boost for QCT/DDA</v>
      </c>
      <c r="B367" s="850"/>
      <c r="C367" s="851" t="str">
        <f>IF('Housing Credits'!F15&gt;'Housing Credits'!F11,"Eligible","Not Eligible")</f>
        <v>Not Eligible</v>
      </c>
      <c r="D367" s="847" t="s">
        <v>5037</v>
      </c>
    </row>
    <row r="368" spans="1:4" x14ac:dyDescent="0.2">
      <c r="A368" s="850" t="str">
        <f>'Housing Credits'!B16</f>
        <v>Boost for Service Enriched</v>
      </c>
      <c r="B368" s="850"/>
      <c r="C368" s="851" t="str">
        <f>IF('Housing Credits'!F16&gt;'Housing Credits'!F11,"Eligible","Not Eligible")</f>
        <v>Not Eligible</v>
      </c>
      <c r="D368" s="847" t="s">
        <v>5037</v>
      </c>
    </row>
    <row r="369" spans="1:4" x14ac:dyDescent="0.2">
      <c r="A369" s="850" t="str">
        <f>'Housing Credits'!B17</f>
        <v>Boost for Opportunity</v>
      </c>
      <c r="B369" s="850"/>
      <c r="C369" s="851" t="str">
        <f>IF('Housing Credits'!F17&gt;'Housing Credits'!F11,"Eligible","Not Eligible")</f>
        <v>Not Eligible</v>
      </c>
      <c r="D369" s="847" t="s">
        <v>5037</v>
      </c>
    </row>
    <row r="370" spans="1:4" x14ac:dyDescent="0.2">
      <c r="A370" s="850" t="str">
        <f>'Housing Credits'!B18</f>
        <v>Boost for ModOpportunity+Change</v>
      </c>
      <c r="B370" s="850"/>
      <c r="C370" s="851" t="str">
        <f>IF('Housing Credits'!F18&gt;'Housing Credits'!F11,"Eligible","Not Eligible")</f>
        <v>Not Eligible</v>
      </c>
      <c r="D370" s="847" t="s">
        <v>5037</v>
      </c>
    </row>
    <row r="371" spans="1:4" x14ac:dyDescent="0.2">
      <c r="A371" s="850" t="str">
        <f>'Housing Credits'!B19</f>
        <v>Boost for Rural or Preserved Pools</v>
      </c>
      <c r="B371" s="850"/>
      <c r="C371" s="851" t="str">
        <f>IF('Housing Credits'!F19&gt;'Housing Credits'!F11,"Eligible","Not Eligible")</f>
        <v>Not Eligible</v>
      </c>
      <c r="D371" s="847" t="s">
        <v>5037</v>
      </c>
    </row>
    <row r="372" spans="1:4" x14ac:dyDescent="0.2">
      <c r="A372" s="850" t="str">
        <f>'Housing Credits'!B20</f>
        <v>Boost for 25% ELI</v>
      </c>
      <c r="B372" s="850"/>
      <c r="C372" s="851" t="str">
        <f>IF('Housing Credits'!F20&gt;'Housing Credits'!F11,"Eligible","Not Eligible")</f>
        <v>Not Eligible</v>
      </c>
      <c r="D372" s="847" t="s">
        <v>5037</v>
      </c>
    </row>
    <row r="373" spans="1:4" x14ac:dyDescent="0.2">
      <c r="A373" s="850" t="str">
        <f>'Housing Credits'!B21</f>
        <v>Boost for MBE/WBE</v>
      </c>
      <c r="B373" s="850"/>
      <c r="C373" s="851" t="str">
        <f>IF('Housing Credits'!F21&gt;'Housing Credits'!F11,"Eligible","Not Eligible")</f>
        <v>Not Eligible</v>
      </c>
      <c r="D373" s="847" t="s">
        <v>5037</v>
      </c>
    </row>
  </sheetData>
  <sheetProtection algorithmName="SHA-512" hashValue="b/5/5GCYGJ+TfqPhW6c7cN8o7kbSppIdMo2kYbMnKTsn7SIIgDR21+se9KlJqSBIwzvQoTJVE8/zkhjqwu7VoQ==" saltValue="gteJV/LHohN41C7E2OVIng==" spinCount="100000" sheet="1" objects="1" scenarios="1"/>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U489"/>
  <sheetViews>
    <sheetView topLeftCell="A391" workbookViewId="0">
      <selection activeCell="P21" sqref="P21"/>
    </sheetView>
  </sheetViews>
  <sheetFormatPr defaultRowHeight="14.25" x14ac:dyDescent="0.2"/>
  <cols>
    <col min="3" max="3" width="10.75" customWidth="1"/>
    <col min="4" max="4" width="10.625" customWidth="1"/>
    <col min="5" max="5" width="9.875" customWidth="1"/>
    <col min="6" max="6" width="10.25" customWidth="1"/>
    <col min="8" max="8" width="2.25" customWidth="1"/>
    <col min="11" max="11" width="10.75" customWidth="1"/>
    <col min="12" max="12" width="10.625" customWidth="1"/>
    <col min="13" max="13" width="9.875" customWidth="1"/>
    <col min="14" max="14" width="10.25" customWidth="1"/>
  </cols>
  <sheetData>
    <row r="1" spans="1:21" ht="15" customHeight="1" x14ac:dyDescent="0.25">
      <c r="A1" s="1448" t="s">
        <v>5135</v>
      </c>
      <c r="B1" s="1449"/>
      <c r="C1" s="1449"/>
      <c r="D1" s="1449"/>
      <c r="E1" s="1449"/>
      <c r="F1" s="1450"/>
      <c r="G1" s="1454" t="s">
        <v>5136</v>
      </c>
      <c r="H1" s="888"/>
      <c r="I1" s="1448" t="s">
        <v>5135</v>
      </c>
      <c r="J1" s="1449"/>
      <c r="K1" s="1449"/>
      <c r="L1" s="1449"/>
      <c r="M1" s="1449"/>
      <c r="N1" s="1450"/>
      <c r="O1" s="1454" t="s">
        <v>5136</v>
      </c>
      <c r="P1" s="835"/>
      <c r="Q1" s="889" t="s">
        <v>5153</v>
      </c>
      <c r="R1" s="889"/>
      <c r="S1" s="889" t="s">
        <v>5154</v>
      </c>
      <c r="T1" s="889" t="s">
        <v>5155</v>
      </c>
      <c r="U1" s="889" t="s">
        <v>3107</v>
      </c>
    </row>
    <row r="2" spans="1:21" ht="15" customHeight="1" thickBot="1" x14ac:dyDescent="0.25">
      <c r="A2" s="1451"/>
      <c r="B2" s="1452"/>
      <c r="C2" s="1452"/>
      <c r="D2" s="1452"/>
      <c r="E2" s="1452"/>
      <c r="F2" s="1453"/>
      <c r="G2" s="1455"/>
      <c r="H2" s="835"/>
      <c r="I2" s="1451"/>
      <c r="J2" s="1452"/>
      <c r="K2" s="1452"/>
      <c r="L2" s="1452"/>
      <c r="M2" s="1452"/>
      <c r="N2" s="1453"/>
      <c r="O2" s="1455"/>
      <c r="P2" s="835"/>
      <c r="Q2" s="889"/>
      <c r="R2" s="889" t="s">
        <v>5156</v>
      </c>
      <c r="S2" s="893" t="e">
        <f>G9</f>
        <v>#VALUE!</v>
      </c>
      <c r="T2" s="890" t="e">
        <f>O9</f>
        <v>#VALUE!</v>
      </c>
      <c r="U2" s="890">
        <f>IFERROR(S2+T2,IFERROR(S2,0))</f>
        <v>0</v>
      </c>
    </row>
    <row r="3" spans="1:21" x14ac:dyDescent="0.2">
      <c r="A3" s="1461" t="s">
        <v>5137</v>
      </c>
      <c r="B3" s="1462"/>
      <c r="C3" s="891" t="str">
        <f>IF(ISNUMBER(SEARCH("mlp",'Budget &amp; Costs'!E243))=TRUE,'Budget &amp; Costs'!G243,"")</f>
        <v/>
      </c>
      <c r="D3" s="1463" t="s">
        <v>5138</v>
      </c>
      <c r="E3" s="1462"/>
      <c r="F3" s="892" t="e">
        <f>-PMT(C4/12,F4*F6,C3)</f>
        <v>#VALUE!</v>
      </c>
      <c r="G3" s="1455"/>
      <c r="H3" s="835"/>
      <c r="I3" s="1461" t="s">
        <v>5137</v>
      </c>
      <c r="J3" s="1462"/>
      <c r="K3" s="891" t="str">
        <f>IF(ISNUMBER(SEARCH("mlp",'Budget &amp; Costs'!E244))=TRUE,'Budget &amp; Costs'!G244,"")</f>
        <v/>
      </c>
      <c r="L3" s="1463" t="s">
        <v>5138</v>
      </c>
      <c r="M3" s="1462"/>
      <c r="N3" s="892" t="e">
        <f>-PMT(K4/12,N4*N6,K3)</f>
        <v>#VALUE!</v>
      </c>
      <c r="O3" s="1455"/>
      <c r="P3" s="835"/>
      <c r="Q3" s="889"/>
      <c r="R3" s="889" t="s">
        <v>5157</v>
      </c>
      <c r="S3" s="893" t="e">
        <f ca="1">SUM(OFFSET($G$10,(ROW()-2)*12,0,12,1))</f>
        <v>#VALUE!</v>
      </c>
      <c r="T3" s="893" t="e">
        <f ca="1">SUM(OFFSET($O$10,(ROW()-2)*12,0,12,1))</f>
        <v>#VALUE!</v>
      </c>
      <c r="U3" s="890">
        <f t="shared" ref="U3:U18" ca="1" si="0">IFERROR(S3+T3,IFERROR(S3,0))</f>
        <v>0</v>
      </c>
    </row>
    <row r="4" spans="1:21" x14ac:dyDescent="0.2">
      <c r="A4" s="1461" t="s">
        <v>5139</v>
      </c>
      <c r="B4" s="1462"/>
      <c r="C4" s="894">
        <f>'Budget &amp; Costs'!H243</f>
        <v>0.06</v>
      </c>
      <c r="D4" s="1463" t="s">
        <v>5140</v>
      </c>
      <c r="E4" s="1462"/>
      <c r="F4" s="895">
        <v>12</v>
      </c>
      <c r="G4" s="1455"/>
      <c r="H4" s="835"/>
      <c r="I4" s="1461" t="s">
        <v>5139</v>
      </c>
      <c r="J4" s="1462"/>
      <c r="K4" s="894">
        <f>'Budget &amp; Costs'!H244</f>
        <v>0</v>
      </c>
      <c r="L4" s="1463" t="s">
        <v>5140</v>
      </c>
      <c r="M4" s="1462"/>
      <c r="N4" s="895">
        <v>12</v>
      </c>
      <c r="O4" s="1455"/>
      <c r="P4" s="835"/>
      <c r="Q4" s="889"/>
      <c r="R4" s="889" t="s">
        <v>5158</v>
      </c>
      <c r="S4" s="893" t="e">
        <f t="shared" ref="S4:S18" ca="1" si="1">SUM(OFFSET($G$10,(ROW()-2)*12,0,12,1))</f>
        <v>#VALUE!</v>
      </c>
      <c r="T4" s="893" t="e">
        <f t="shared" ref="T4:T16" ca="1" si="2">SUM(OFFSET($O$10,(ROW()-2)*12,0,12,1))</f>
        <v>#VALUE!</v>
      </c>
      <c r="U4" s="890">
        <f t="shared" ca="1" si="0"/>
        <v>0</v>
      </c>
    </row>
    <row r="5" spans="1:21" x14ac:dyDescent="0.2">
      <c r="A5" s="896"/>
      <c r="B5" s="897" t="s">
        <v>5141</v>
      </c>
      <c r="C5" s="891">
        <f>IF(F5&lt;&gt;F6,INDEX(C10:C369,F5*F4,1),0)</f>
        <v>0</v>
      </c>
      <c r="D5" s="1463" t="s">
        <v>3791</v>
      </c>
      <c r="E5" s="1462"/>
      <c r="F5" s="898" t="str">
        <f>IF(ISNUMBER(SEARCH("mlp",'Budget &amp; Costs'!E243))=TRUE,'Budget &amp; Costs'!J243,"")</f>
        <v/>
      </c>
      <c r="G5" s="1455"/>
      <c r="H5" s="835"/>
      <c r="I5" s="896"/>
      <c r="J5" s="897" t="s">
        <v>5141</v>
      </c>
      <c r="K5" s="891">
        <f>IF(N5&lt;&gt;N6,INDEX(K10:K370,N5*N4,1),0)</f>
        <v>0</v>
      </c>
      <c r="L5" s="1463" t="s">
        <v>3791</v>
      </c>
      <c r="M5" s="1462"/>
      <c r="N5" s="898" t="str">
        <f>IF(ISNUMBER(SEARCH("mlp",'Budget &amp; Costs'!E244))=TRUE,'Budget &amp; Costs'!J244,"")</f>
        <v/>
      </c>
      <c r="O5" s="1455"/>
      <c r="P5" s="835"/>
      <c r="Q5" s="889"/>
      <c r="R5" s="889" t="s">
        <v>5159</v>
      </c>
      <c r="S5" s="893" t="e">
        <f t="shared" ca="1" si="1"/>
        <v>#VALUE!</v>
      </c>
      <c r="T5" s="893" t="e">
        <f t="shared" ca="1" si="2"/>
        <v>#VALUE!</v>
      </c>
      <c r="U5" s="890">
        <f t="shared" ca="1" si="0"/>
        <v>0</v>
      </c>
    </row>
    <row r="6" spans="1:21" ht="15" thickBot="1" x14ac:dyDescent="0.25">
      <c r="A6" s="1464" t="s">
        <v>5142</v>
      </c>
      <c r="B6" s="1465"/>
      <c r="C6" s="899" t="e">
        <f>SUM(E10:(INDEX(E10:E369,F4*F5)))</f>
        <v>#VALUE!</v>
      </c>
      <c r="D6" s="1466" t="s">
        <v>5143</v>
      </c>
      <c r="E6" s="1467"/>
      <c r="F6" s="900" t="str">
        <f>IF(ISNUMBER(SEARCH("mlp",'Budget &amp; Costs'!E243))=TRUE,'Budget &amp; Costs'!K243,"")</f>
        <v/>
      </c>
      <c r="G6" s="1455"/>
      <c r="H6" s="835"/>
      <c r="I6" s="1464" t="s">
        <v>5142</v>
      </c>
      <c r="J6" s="1465"/>
      <c r="K6" s="899" t="e">
        <f>SUM(M10:(INDEX(M10:M189,N4*N5)))</f>
        <v>#VALUE!</v>
      </c>
      <c r="L6" s="1466" t="s">
        <v>5143</v>
      </c>
      <c r="M6" s="1467"/>
      <c r="N6" s="900" t="str">
        <f>IF(ISNUMBER(SEARCH("mlp",'Budget &amp; Costs'!E244))=TRUE,'Budget &amp; Costs'!K244,"")</f>
        <v/>
      </c>
      <c r="O6" s="1455"/>
      <c r="P6" s="835"/>
      <c r="Q6" s="889"/>
      <c r="R6" s="889" t="s">
        <v>5160</v>
      </c>
      <c r="S6" s="893" t="e">
        <f t="shared" ca="1" si="1"/>
        <v>#VALUE!</v>
      </c>
      <c r="T6" s="893" t="e">
        <f t="shared" ca="1" si="2"/>
        <v>#VALUE!</v>
      </c>
      <c r="U6" s="890">
        <f t="shared" ca="1" si="0"/>
        <v>0</v>
      </c>
    </row>
    <row r="7" spans="1:21" ht="15.75" thickBot="1" x14ac:dyDescent="0.3">
      <c r="A7" s="1459" t="s">
        <v>5144</v>
      </c>
      <c r="B7" s="1460"/>
      <c r="C7" s="901">
        <v>44299</v>
      </c>
      <c r="D7" s="1457" t="s">
        <v>5145</v>
      </c>
      <c r="E7" s="1458"/>
      <c r="F7" s="902">
        <v>44348</v>
      </c>
      <c r="G7" s="1456"/>
      <c r="H7" s="888"/>
      <c r="I7" s="1459" t="s">
        <v>5144</v>
      </c>
      <c r="J7" s="1460"/>
      <c r="K7" s="901">
        <v>44299</v>
      </c>
      <c r="L7" s="1457" t="s">
        <v>5145</v>
      </c>
      <c r="M7" s="1458"/>
      <c r="N7" s="902">
        <v>44348</v>
      </c>
      <c r="O7" s="1456"/>
      <c r="P7" s="835"/>
      <c r="Q7" s="889"/>
      <c r="R7" s="889" t="s">
        <v>5161</v>
      </c>
      <c r="S7" s="893" t="e">
        <f t="shared" ca="1" si="1"/>
        <v>#VALUE!</v>
      </c>
      <c r="T7" s="893" t="e">
        <f t="shared" ca="1" si="2"/>
        <v>#VALUE!</v>
      </c>
      <c r="U7" s="890">
        <f t="shared" ca="1" si="0"/>
        <v>0</v>
      </c>
    </row>
    <row r="8" spans="1:21" ht="26.25" thickBot="1" x14ac:dyDescent="0.25">
      <c r="A8" s="903" t="s">
        <v>5146</v>
      </c>
      <c r="B8" s="904" t="s">
        <v>5147</v>
      </c>
      <c r="C8" s="905" t="s">
        <v>5148</v>
      </c>
      <c r="D8" s="905" t="s">
        <v>5149</v>
      </c>
      <c r="E8" s="905" t="s">
        <v>5150</v>
      </c>
      <c r="F8" s="906" t="s">
        <v>5151</v>
      </c>
      <c r="G8" s="1037">
        <v>1.25E-3</v>
      </c>
      <c r="H8" s="835"/>
      <c r="I8" s="903" t="s">
        <v>5146</v>
      </c>
      <c r="J8" s="904" t="s">
        <v>5147</v>
      </c>
      <c r="K8" s="905" t="s">
        <v>5148</v>
      </c>
      <c r="L8" s="905" t="s">
        <v>5149</v>
      </c>
      <c r="M8" s="905" t="s">
        <v>5150</v>
      </c>
      <c r="N8" s="906" t="s">
        <v>5151</v>
      </c>
      <c r="O8" s="1037">
        <v>1.25E-3</v>
      </c>
      <c r="P8" s="835"/>
      <c r="Q8" s="889"/>
      <c r="R8" s="889" t="s">
        <v>5162</v>
      </c>
      <c r="S8" s="893" t="e">
        <f t="shared" ca="1" si="1"/>
        <v>#VALUE!</v>
      </c>
      <c r="T8" s="893" t="e">
        <f t="shared" ca="1" si="2"/>
        <v>#VALUE!</v>
      </c>
      <c r="U8" s="890">
        <f t="shared" ca="1" si="0"/>
        <v>0</v>
      </c>
    </row>
    <row r="9" spans="1:21" x14ac:dyDescent="0.2">
      <c r="A9" s="907" t="s">
        <v>5152</v>
      </c>
      <c r="B9" s="908">
        <v>44299</v>
      </c>
      <c r="C9" s="909" t="str">
        <f>C3</f>
        <v/>
      </c>
      <c r="D9" s="910"/>
      <c r="E9" s="911"/>
      <c r="F9" s="912">
        <v>0</v>
      </c>
      <c r="G9" s="913" t="e">
        <f>$G$8*C9</f>
        <v>#VALUE!</v>
      </c>
      <c r="H9" s="835"/>
      <c r="I9" s="907" t="s">
        <v>5152</v>
      </c>
      <c r="J9" s="908">
        <v>44299</v>
      </c>
      <c r="K9" s="909" t="str">
        <f>K3</f>
        <v/>
      </c>
      <c r="L9" s="910"/>
      <c r="M9" s="911"/>
      <c r="N9" s="912">
        <v>0</v>
      </c>
      <c r="O9" s="913" t="e">
        <f>$G$8*K9</f>
        <v>#VALUE!</v>
      </c>
      <c r="P9" s="835"/>
      <c r="Q9" s="889"/>
      <c r="R9" s="889" t="s">
        <v>5163</v>
      </c>
      <c r="S9" s="893" t="e">
        <f t="shared" ca="1" si="1"/>
        <v>#VALUE!</v>
      </c>
      <c r="T9" s="893" t="e">
        <f t="shared" ca="1" si="2"/>
        <v>#VALUE!</v>
      </c>
      <c r="U9" s="890">
        <f t="shared" ca="1" si="0"/>
        <v>0</v>
      </c>
    </row>
    <row r="10" spans="1:21" x14ac:dyDescent="0.2">
      <c r="A10" s="914">
        <v>1</v>
      </c>
      <c r="B10" s="915">
        <v>44348</v>
      </c>
      <c r="C10" s="916" t="e">
        <f>C9-D10</f>
        <v>#VALUE!</v>
      </c>
      <c r="D10" s="917" t="e">
        <f>-PPMT($C$4/12,A10,$F$4*$F$6,$C$3)</f>
        <v>#VALUE!</v>
      </c>
      <c r="E10" s="917" t="e">
        <f>F10-D10</f>
        <v>#VALUE!</v>
      </c>
      <c r="F10" s="918" t="e">
        <f>$F$3</f>
        <v>#VALUE!</v>
      </c>
      <c r="G10" s="919"/>
      <c r="H10" s="835"/>
      <c r="I10" s="914">
        <v>1</v>
      </c>
      <c r="J10" s="915">
        <v>44348</v>
      </c>
      <c r="K10" s="916" t="e">
        <f>K9-L10</f>
        <v>#VALUE!</v>
      </c>
      <c r="L10" s="917" t="e">
        <f>-PPMT($K$4/12,I10,$N$4*$N$6,$K$3)</f>
        <v>#VALUE!</v>
      </c>
      <c r="M10" s="917" t="e">
        <f>N10-L10</f>
        <v>#VALUE!</v>
      </c>
      <c r="N10" s="918" t="e">
        <f>$N$3</f>
        <v>#VALUE!</v>
      </c>
      <c r="O10" s="919"/>
      <c r="P10" s="835"/>
      <c r="Q10" s="889"/>
      <c r="R10" s="889" t="s">
        <v>5164</v>
      </c>
      <c r="S10" s="893" t="e">
        <f t="shared" ca="1" si="1"/>
        <v>#VALUE!</v>
      </c>
      <c r="T10" s="893" t="e">
        <f t="shared" ca="1" si="2"/>
        <v>#VALUE!</v>
      </c>
      <c r="U10" s="890">
        <f t="shared" ca="1" si="0"/>
        <v>0</v>
      </c>
    </row>
    <row r="11" spans="1:21" x14ac:dyDescent="0.2">
      <c r="A11" s="920">
        <v>2</v>
      </c>
      <c r="B11" s="921">
        <v>44378</v>
      </c>
      <c r="C11" s="916" t="e">
        <f t="shared" ref="C11:C74" si="3">C10-D11</f>
        <v>#VALUE!</v>
      </c>
      <c r="D11" s="917" t="e">
        <f t="shared" ref="D11:D74" si="4">-PPMT($C$4/12,A11,$F$4*$F$6,$C$3)</f>
        <v>#VALUE!</v>
      </c>
      <c r="E11" s="917" t="e">
        <f t="shared" ref="E11:E74" si="5">F11-D11</f>
        <v>#VALUE!</v>
      </c>
      <c r="F11" s="918" t="e">
        <f t="shared" ref="F11:F74" si="6">$F$3</f>
        <v>#VALUE!</v>
      </c>
      <c r="G11" s="919"/>
      <c r="H11" s="835"/>
      <c r="I11" s="920">
        <v>2</v>
      </c>
      <c r="J11" s="921">
        <v>44378</v>
      </c>
      <c r="K11" s="916" t="e">
        <f t="shared" ref="K11:K74" si="7">K10-L11</f>
        <v>#VALUE!</v>
      </c>
      <c r="L11" s="917" t="e">
        <f t="shared" ref="L11:L74" si="8">-PPMT($K$4/12,I11,$N$4*$N$6,$K$3)</f>
        <v>#VALUE!</v>
      </c>
      <c r="M11" s="917" t="e">
        <f t="shared" ref="M11:M74" si="9">N11-L11</f>
        <v>#VALUE!</v>
      </c>
      <c r="N11" s="918" t="e">
        <f t="shared" ref="N11:N74" si="10">$N$3</f>
        <v>#VALUE!</v>
      </c>
      <c r="O11" s="919"/>
      <c r="P11" s="835"/>
      <c r="Q11" s="889"/>
      <c r="R11" s="889" t="s">
        <v>5165</v>
      </c>
      <c r="S11" s="893" t="e">
        <f t="shared" ca="1" si="1"/>
        <v>#VALUE!</v>
      </c>
      <c r="T11" s="893" t="e">
        <f t="shared" ca="1" si="2"/>
        <v>#VALUE!</v>
      </c>
      <c r="U11" s="890">
        <f t="shared" ca="1" si="0"/>
        <v>0</v>
      </c>
    </row>
    <row r="12" spans="1:21" x14ac:dyDescent="0.2">
      <c r="A12" s="920">
        <v>3</v>
      </c>
      <c r="B12" s="921">
        <v>44409</v>
      </c>
      <c r="C12" s="916" t="e">
        <f t="shared" si="3"/>
        <v>#VALUE!</v>
      </c>
      <c r="D12" s="917" t="e">
        <f t="shared" si="4"/>
        <v>#VALUE!</v>
      </c>
      <c r="E12" s="917" t="e">
        <f t="shared" si="5"/>
        <v>#VALUE!</v>
      </c>
      <c r="F12" s="918" t="e">
        <f t="shared" si="6"/>
        <v>#VALUE!</v>
      </c>
      <c r="G12" s="919"/>
      <c r="H12" s="835"/>
      <c r="I12" s="920">
        <v>3</v>
      </c>
      <c r="J12" s="921">
        <v>44409</v>
      </c>
      <c r="K12" s="916" t="e">
        <f t="shared" si="7"/>
        <v>#VALUE!</v>
      </c>
      <c r="L12" s="917" t="e">
        <f t="shared" si="8"/>
        <v>#VALUE!</v>
      </c>
      <c r="M12" s="917" t="e">
        <f t="shared" si="9"/>
        <v>#VALUE!</v>
      </c>
      <c r="N12" s="918" t="e">
        <f t="shared" si="10"/>
        <v>#VALUE!</v>
      </c>
      <c r="O12" s="919"/>
      <c r="P12" s="835"/>
      <c r="Q12" s="889"/>
      <c r="R12" s="889" t="s">
        <v>5166</v>
      </c>
      <c r="S12" s="893" t="e">
        <f t="shared" ca="1" si="1"/>
        <v>#VALUE!</v>
      </c>
      <c r="T12" s="893" t="e">
        <f t="shared" ca="1" si="2"/>
        <v>#VALUE!</v>
      </c>
      <c r="U12" s="890">
        <f t="shared" ca="1" si="0"/>
        <v>0</v>
      </c>
    </row>
    <row r="13" spans="1:21" x14ac:dyDescent="0.2">
      <c r="A13" s="920">
        <v>4</v>
      </c>
      <c r="B13" s="921">
        <v>44440</v>
      </c>
      <c r="C13" s="916" t="e">
        <f t="shared" si="3"/>
        <v>#VALUE!</v>
      </c>
      <c r="D13" s="917" t="e">
        <f t="shared" si="4"/>
        <v>#VALUE!</v>
      </c>
      <c r="E13" s="917" t="e">
        <f t="shared" si="5"/>
        <v>#VALUE!</v>
      </c>
      <c r="F13" s="918" t="e">
        <f t="shared" si="6"/>
        <v>#VALUE!</v>
      </c>
      <c r="G13" s="919"/>
      <c r="H13" s="835"/>
      <c r="I13" s="920">
        <v>4</v>
      </c>
      <c r="J13" s="921">
        <v>44440</v>
      </c>
      <c r="K13" s="916" t="e">
        <f t="shared" si="7"/>
        <v>#VALUE!</v>
      </c>
      <c r="L13" s="917" t="e">
        <f t="shared" si="8"/>
        <v>#VALUE!</v>
      </c>
      <c r="M13" s="917" t="e">
        <f t="shared" si="9"/>
        <v>#VALUE!</v>
      </c>
      <c r="N13" s="918" t="e">
        <f t="shared" si="10"/>
        <v>#VALUE!</v>
      </c>
      <c r="O13" s="919"/>
      <c r="P13" s="835"/>
      <c r="Q13" s="889"/>
      <c r="R13" s="889" t="s">
        <v>5167</v>
      </c>
      <c r="S13" s="893" t="e">
        <f t="shared" ca="1" si="1"/>
        <v>#VALUE!</v>
      </c>
      <c r="T13" s="893" t="e">
        <f t="shared" ca="1" si="2"/>
        <v>#VALUE!</v>
      </c>
      <c r="U13" s="890">
        <f t="shared" ca="1" si="0"/>
        <v>0</v>
      </c>
    </row>
    <row r="14" spans="1:21" x14ac:dyDescent="0.2">
      <c r="A14" s="920">
        <v>5</v>
      </c>
      <c r="B14" s="921">
        <v>44470</v>
      </c>
      <c r="C14" s="916" t="e">
        <f t="shared" si="3"/>
        <v>#VALUE!</v>
      </c>
      <c r="D14" s="917" t="e">
        <f t="shared" si="4"/>
        <v>#VALUE!</v>
      </c>
      <c r="E14" s="917" t="e">
        <f t="shared" si="5"/>
        <v>#VALUE!</v>
      </c>
      <c r="F14" s="918" t="e">
        <f t="shared" si="6"/>
        <v>#VALUE!</v>
      </c>
      <c r="G14" s="919"/>
      <c r="H14" s="835"/>
      <c r="I14" s="920">
        <v>5</v>
      </c>
      <c r="J14" s="921">
        <v>44470</v>
      </c>
      <c r="K14" s="916" t="e">
        <f t="shared" si="7"/>
        <v>#VALUE!</v>
      </c>
      <c r="L14" s="917" t="e">
        <f t="shared" si="8"/>
        <v>#VALUE!</v>
      </c>
      <c r="M14" s="917" t="e">
        <f t="shared" si="9"/>
        <v>#VALUE!</v>
      </c>
      <c r="N14" s="918" t="e">
        <f t="shared" si="10"/>
        <v>#VALUE!</v>
      </c>
      <c r="O14" s="919"/>
      <c r="P14" s="835"/>
      <c r="Q14" s="889"/>
      <c r="R14" s="889" t="s">
        <v>5168</v>
      </c>
      <c r="S14" s="893" t="e">
        <f t="shared" ca="1" si="1"/>
        <v>#VALUE!</v>
      </c>
      <c r="T14" s="893" t="e">
        <f t="shared" ca="1" si="2"/>
        <v>#VALUE!</v>
      </c>
      <c r="U14" s="890">
        <f t="shared" ca="1" si="0"/>
        <v>0</v>
      </c>
    </row>
    <row r="15" spans="1:21" x14ac:dyDescent="0.2">
      <c r="A15" s="920">
        <v>6</v>
      </c>
      <c r="B15" s="921">
        <v>44501</v>
      </c>
      <c r="C15" s="916" t="e">
        <f t="shared" si="3"/>
        <v>#VALUE!</v>
      </c>
      <c r="D15" s="917" t="e">
        <f t="shared" si="4"/>
        <v>#VALUE!</v>
      </c>
      <c r="E15" s="917" t="e">
        <f t="shared" si="5"/>
        <v>#VALUE!</v>
      </c>
      <c r="F15" s="918" t="e">
        <f t="shared" si="6"/>
        <v>#VALUE!</v>
      </c>
      <c r="G15" s="919"/>
      <c r="H15" s="835"/>
      <c r="I15" s="920">
        <v>6</v>
      </c>
      <c r="J15" s="921">
        <v>44501</v>
      </c>
      <c r="K15" s="916" t="e">
        <f t="shared" si="7"/>
        <v>#VALUE!</v>
      </c>
      <c r="L15" s="917" t="e">
        <f t="shared" si="8"/>
        <v>#VALUE!</v>
      </c>
      <c r="M15" s="917" t="e">
        <f t="shared" si="9"/>
        <v>#VALUE!</v>
      </c>
      <c r="N15" s="918" t="e">
        <f t="shared" si="10"/>
        <v>#VALUE!</v>
      </c>
      <c r="O15" s="919"/>
      <c r="P15" s="835"/>
      <c r="Q15" s="889"/>
      <c r="R15" s="889" t="s">
        <v>5169</v>
      </c>
      <c r="S15" s="893" t="e">
        <f t="shared" ca="1" si="1"/>
        <v>#VALUE!</v>
      </c>
      <c r="T15" s="893" t="e">
        <f t="shared" ca="1" si="2"/>
        <v>#VALUE!</v>
      </c>
      <c r="U15" s="890">
        <f t="shared" ca="1" si="0"/>
        <v>0</v>
      </c>
    </row>
    <row r="16" spans="1:21" x14ac:dyDescent="0.2">
      <c r="A16" s="920">
        <v>7</v>
      </c>
      <c r="B16" s="921">
        <v>44531</v>
      </c>
      <c r="C16" s="916" t="e">
        <f t="shared" si="3"/>
        <v>#VALUE!</v>
      </c>
      <c r="D16" s="917" t="e">
        <f t="shared" si="4"/>
        <v>#VALUE!</v>
      </c>
      <c r="E16" s="917" t="e">
        <f t="shared" si="5"/>
        <v>#VALUE!</v>
      </c>
      <c r="F16" s="918" t="e">
        <f t="shared" si="6"/>
        <v>#VALUE!</v>
      </c>
      <c r="G16" s="919"/>
      <c r="H16" s="835"/>
      <c r="I16" s="920">
        <v>7</v>
      </c>
      <c r="J16" s="921">
        <v>44531</v>
      </c>
      <c r="K16" s="916" t="e">
        <f t="shared" si="7"/>
        <v>#VALUE!</v>
      </c>
      <c r="L16" s="917" t="e">
        <f t="shared" si="8"/>
        <v>#VALUE!</v>
      </c>
      <c r="M16" s="917" t="e">
        <f t="shared" si="9"/>
        <v>#VALUE!</v>
      </c>
      <c r="N16" s="918" t="e">
        <f t="shared" si="10"/>
        <v>#VALUE!</v>
      </c>
      <c r="O16" s="919"/>
      <c r="P16" s="835"/>
      <c r="Q16" s="889"/>
      <c r="R16" s="889" t="s">
        <v>5170</v>
      </c>
      <c r="S16" s="893" t="e">
        <f t="shared" ca="1" si="1"/>
        <v>#VALUE!</v>
      </c>
      <c r="T16" s="893" t="e">
        <f t="shared" ca="1" si="2"/>
        <v>#VALUE!</v>
      </c>
      <c r="U16" s="890">
        <f t="shared" ca="1" si="0"/>
        <v>0</v>
      </c>
    </row>
    <row r="17" spans="1:21" x14ac:dyDescent="0.2">
      <c r="A17" s="920">
        <v>8</v>
      </c>
      <c r="B17" s="921">
        <v>44562</v>
      </c>
      <c r="C17" s="916" t="e">
        <f t="shared" si="3"/>
        <v>#VALUE!</v>
      </c>
      <c r="D17" s="917" t="e">
        <f t="shared" si="4"/>
        <v>#VALUE!</v>
      </c>
      <c r="E17" s="917" t="e">
        <f t="shared" si="5"/>
        <v>#VALUE!</v>
      </c>
      <c r="F17" s="918" t="e">
        <f t="shared" si="6"/>
        <v>#VALUE!</v>
      </c>
      <c r="G17" s="919"/>
      <c r="H17" s="835"/>
      <c r="I17" s="920">
        <v>8</v>
      </c>
      <c r="J17" s="921">
        <v>44562</v>
      </c>
      <c r="K17" s="916" t="e">
        <f t="shared" si="7"/>
        <v>#VALUE!</v>
      </c>
      <c r="L17" s="917" t="e">
        <f t="shared" si="8"/>
        <v>#VALUE!</v>
      </c>
      <c r="M17" s="917" t="e">
        <f t="shared" si="9"/>
        <v>#VALUE!</v>
      </c>
      <c r="N17" s="918" t="e">
        <f t="shared" si="10"/>
        <v>#VALUE!</v>
      </c>
      <c r="O17" s="919"/>
      <c r="P17" s="835"/>
      <c r="Q17" s="835"/>
      <c r="R17" s="889" t="s">
        <v>5171</v>
      </c>
      <c r="S17" s="893" t="e">
        <f t="shared" ca="1" si="1"/>
        <v>#VALUE!</v>
      </c>
      <c r="T17" s="893"/>
      <c r="U17" s="890">
        <f t="shared" ca="1" si="0"/>
        <v>0</v>
      </c>
    </row>
    <row r="18" spans="1:21" x14ac:dyDescent="0.2">
      <c r="A18" s="920">
        <v>9</v>
      </c>
      <c r="B18" s="921">
        <v>44593</v>
      </c>
      <c r="C18" s="916" t="e">
        <f t="shared" si="3"/>
        <v>#VALUE!</v>
      </c>
      <c r="D18" s="917" t="e">
        <f t="shared" si="4"/>
        <v>#VALUE!</v>
      </c>
      <c r="E18" s="917" t="e">
        <f t="shared" si="5"/>
        <v>#VALUE!</v>
      </c>
      <c r="F18" s="918" t="e">
        <f t="shared" si="6"/>
        <v>#VALUE!</v>
      </c>
      <c r="G18" s="919"/>
      <c r="H18" s="835"/>
      <c r="I18" s="920">
        <v>9</v>
      </c>
      <c r="J18" s="921">
        <v>44593</v>
      </c>
      <c r="K18" s="916" t="e">
        <f t="shared" si="7"/>
        <v>#VALUE!</v>
      </c>
      <c r="L18" s="917" t="e">
        <f t="shared" si="8"/>
        <v>#VALUE!</v>
      </c>
      <c r="M18" s="917" t="e">
        <f t="shared" si="9"/>
        <v>#VALUE!</v>
      </c>
      <c r="N18" s="918" t="e">
        <f t="shared" si="10"/>
        <v>#VALUE!</v>
      </c>
      <c r="O18" s="919"/>
      <c r="P18" s="835"/>
      <c r="Q18" s="835"/>
      <c r="R18" s="889" t="s">
        <v>5172</v>
      </c>
      <c r="S18" s="893" t="e">
        <f t="shared" ca="1" si="1"/>
        <v>#VALUE!</v>
      </c>
      <c r="T18" s="893"/>
      <c r="U18" s="890">
        <f t="shared" ca="1" si="0"/>
        <v>0</v>
      </c>
    </row>
    <row r="19" spans="1:21" x14ac:dyDescent="0.2">
      <c r="A19" s="920">
        <v>10</v>
      </c>
      <c r="B19" s="921">
        <v>44621</v>
      </c>
      <c r="C19" s="916" t="e">
        <f t="shared" si="3"/>
        <v>#VALUE!</v>
      </c>
      <c r="D19" s="917" t="e">
        <f t="shared" si="4"/>
        <v>#VALUE!</v>
      </c>
      <c r="E19" s="917" t="e">
        <f t="shared" si="5"/>
        <v>#VALUE!</v>
      </c>
      <c r="F19" s="918" t="e">
        <f t="shared" si="6"/>
        <v>#VALUE!</v>
      </c>
      <c r="G19" s="919"/>
      <c r="H19" s="835"/>
      <c r="I19" s="920">
        <v>10</v>
      </c>
      <c r="J19" s="921">
        <v>44621</v>
      </c>
      <c r="K19" s="916" t="e">
        <f t="shared" si="7"/>
        <v>#VALUE!</v>
      </c>
      <c r="L19" s="917" t="e">
        <f t="shared" si="8"/>
        <v>#VALUE!</v>
      </c>
      <c r="M19" s="917" t="e">
        <f t="shared" si="9"/>
        <v>#VALUE!</v>
      </c>
      <c r="N19" s="918" t="e">
        <f t="shared" si="10"/>
        <v>#VALUE!</v>
      </c>
      <c r="O19" s="919"/>
      <c r="P19" s="835"/>
      <c r="Q19" s="835"/>
      <c r="R19" s="835"/>
      <c r="S19" s="835"/>
      <c r="T19" s="835"/>
      <c r="U19" s="835"/>
    </row>
    <row r="20" spans="1:21" x14ac:dyDescent="0.2">
      <c r="A20" s="920">
        <v>11</v>
      </c>
      <c r="B20" s="921">
        <v>44652</v>
      </c>
      <c r="C20" s="916" t="e">
        <f t="shared" si="3"/>
        <v>#VALUE!</v>
      </c>
      <c r="D20" s="917" t="e">
        <f t="shared" si="4"/>
        <v>#VALUE!</v>
      </c>
      <c r="E20" s="917" t="e">
        <f t="shared" si="5"/>
        <v>#VALUE!</v>
      </c>
      <c r="F20" s="918" t="e">
        <f t="shared" si="6"/>
        <v>#VALUE!</v>
      </c>
      <c r="G20" s="919"/>
      <c r="H20" s="835"/>
      <c r="I20" s="920">
        <v>11</v>
      </c>
      <c r="J20" s="921">
        <v>44652</v>
      </c>
      <c r="K20" s="916" t="e">
        <f t="shared" si="7"/>
        <v>#VALUE!</v>
      </c>
      <c r="L20" s="917" t="e">
        <f t="shared" si="8"/>
        <v>#VALUE!</v>
      </c>
      <c r="M20" s="917" t="e">
        <f t="shared" si="9"/>
        <v>#VALUE!</v>
      </c>
      <c r="N20" s="918" t="e">
        <f t="shared" si="10"/>
        <v>#VALUE!</v>
      </c>
      <c r="O20" s="919"/>
      <c r="P20" s="835"/>
      <c r="Q20" s="835"/>
      <c r="R20" s="835"/>
      <c r="S20" s="835"/>
      <c r="T20" s="835"/>
      <c r="U20" s="835"/>
    </row>
    <row r="21" spans="1:21" ht="15" thickBot="1" x14ac:dyDescent="0.25">
      <c r="A21" s="922">
        <v>12</v>
      </c>
      <c r="B21" s="923">
        <v>44682</v>
      </c>
      <c r="C21" s="924" t="e">
        <f t="shared" si="3"/>
        <v>#VALUE!</v>
      </c>
      <c r="D21" s="925" t="e">
        <f t="shared" si="4"/>
        <v>#VALUE!</v>
      </c>
      <c r="E21" s="925" t="e">
        <f t="shared" si="5"/>
        <v>#VALUE!</v>
      </c>
      <c r="F21" s="926" t="e">
        <f t="shared" si="6"/>
        <v>#VALUE!</v>
      </c>
      <c r="G21" s="927"/>
      <c r="H21" s="835"/>
      <c r="I21" s="922">
        <v>12</v>
      </c>
      <c r="J21" s="923">
        <v>44682</v>
      </c>
      <c r="K21" s="924" t="e">
        <f t="shared" si="7"/>
        <v>#VALUE!</v>
      </c>
      <c r="L21" s="925" t="e">
        <f t="shared" si="8"/>
        <v>#VALUE!</v>
      </c>
      <c r="M21" s="925" t="e">
        <f t="shared" si="9"/>
        <v>#VALUE!</v>
      </c>
      <c r="N21" s="926" t="e">
        <f t="shared" si="10"/>
        <v>#VALUE!</v>
      </c>
      <c r="O21" s="927"/>
      <c r="P21" s="835"/>
      <c r="Q21" s="835"/>
      <c r="R21" s="835"/>
      <c r="S21" s="835"/>
      <c r="T21" s="835"/>
      <c r="U21" s="835"/>
    </row>
    <row r="22" spans="1:21" x14ac:dyDescent="0.2">
      <c r="A22" s="920">
        <v>13</v>
      </c>
      <c r="B22" s="921">
        <v>44713</v>
      </c>
      <c r="C22" s="928" t="e">
        <f t="shared" si="3"/>
        <v>#VALUE!</v>
      </c>
      <c r="D22" s="929" t="e">
        <f t="shared" si="4"/>
        <v>#VALUE!</v>
      </c>
      <c r="E22" s="929" t="e">
        <f t="shared" si="5"/>
        <v>#VALUE!</v>
      </c>
      <c r="F22" s="930" t="e">
        <f t="shared" si="6"/>
        <v>#VALUE!</v>
      </c>
      <c r="G22" s="1038" t="e">
        <f>$G$8*AVERAGE(C22:C33)</f>
        <v>#VALUE!</v>
      </c>
      <c r="H22" s="835"/>
      <c r="I22" s="920">
        <v>13</v>
      </c>
      <c r="J22" s="921">
        <v>44713</v>
      </c>
      <c r="K22" s="928" t="e">
        <f t="shared" si="7"/>
        <v>#VALUE!</v>
      </c>
      <c r="L22" s="929" t="e">
        <f t="shared" si="8"/>
        <v>#VALUE!</v>
      </c>
      <c r="M22" s="929" t="e">
        <f t="shared" si="9"/>
        <v>#VALUE!</v>
      </c>
      <c r="N22" s="930" t="e">
        <f t="shared" si="10"/>
        <v>#VALUE!</v>
      </c>
      <c r="O22" s="1038" t="e">
        <f>$G$8*AVERAGE(K22:K33)</f>
        <v>#VALUE!</v>
      </c>
      <c r="P22" s="835"/>
      <c r="Q22" s="835"/>
      <c r="R22" s="835"/>
      <c r="S22" s="835"/>
      <c r="T22" s="835"/>
      <c r="U22" s="835"/>
    </row>
    <row r="23" spans="1:21" x14ac:dyDescent="0.2">
      <c r="A23" s="920">
        <v>14</v>
      </c>
      <c r="B23" s="921">
        <v>44743</v>
      </c>
      <c r="C23" s="916" t="e">
        <f t="shared" si="3"/>
        <v>#VALUE!</v>
      </c>
      <c r="D23" s="917" t="e">
        <f t="shared" si="4"/>
        <v>#VALUE!</v>
      </c>
      <c r="E23" s="917" t="e">
        <f t="shared" si="5"/>
        <v>#VALUE!</v>
      </c>
      <c r="F23" s="918" t="e">
        <f t="shared" si="6"/>
        <v>#VALUE!</v>
      </c>
      <c r="G23" s="919"/>
      <c r="H23" s="835"/>
      <c r="I23" s="920">
        <v>14</v>
      </c>
      <c r="J23" s="921">
        <v>44743</v>
      </c>
      <c r="K23" s="916" t="e">
        <f t="shared" si="7"/>
        <v>#VALUE!</v>
      </c>
      <c r="L23" s="917" t="e">
        <f t="shared" si="8"/>
        <v>#VALUE!</v>
      </c>
      <c r="M23" s="917" t="e">
        <f t="shared" si="9"/>
        <v>#VALUE!</v>
      </c>
      <c r="N23" s="918" t="e">
        <f t="shared" si="10"/>
        <v>#VALUE!</v>
      </c>
      <c r="O23" s="919"/>
      <c r="P23" s="835"/>
      <c r="Q23" s="835"/>
      <c r="R23" s="835"/>
      <c r="S23" s="835"/>
      <c r="T23" s="835"/>
      <c r="U23" s="835"/>
    </row>
    <row r="24" spans="1:21" x14ac:dyDescent="0.2">
      <c r="A24" s="920">
        <v>15</v>
      </c>
      <c r="B24" s="921">
        <v>44774</v>
      </c>
      <c r="C24" s="916" t="e">
        <f t="shared" si="3"/>
        <v>#VALUE!</v>
      </c>
      <c r="D24" s="917" t="e">
        <f t="shared" si="4"/>
        <v>#VALUE!</v>
      </c>
      <c r="E24" s="917" t="e">
        <f t="shared" si="5"/>
        <v>#VALUE!</v>
      </c>
      <c r="F24" s="918" t="e">
        <f t="shared" si="6"/>
        <v>#VALUE!</v>
      </c>
      <c r="G24" s="919"/>
      <c r="H24" s="835"/>
      <c r="I24" s="920">
        <v>15</v>
      </c>
      <c r="J24" s="921">
        <v>44774</v>
      </c>
      <c r="K24" s="916" t="e">
        <f t="shared" si="7"/>
        <v>#VALUE!</v>
      </c>
      <c r="L24" s="917" t="e">
        <f t="shared" si="8"/>
        <v>#VALUE!</v>
      </c>
      <c r="M24" s="917" t="e">
        <f t="shared" si="9"/>
        <v>#VALUE!</v>
      </c>
      <c r="N24" s="918" t="e">
        <f t="shared" si="10"/>
        <v>#VALUE!</v>
      </c>
      <c r="O24" s="919"/>
      <c r="P24" s="835"/>
      <c r="Q24" s="835"/>
      <c r="R24" s="835"/>
      <c r="S24" s="835"/>
      <c r="T24" s="835"/>
      <c r="U24" s="835"/>
    </row>
    <row r="25" spans="1:21" x14ac:dyDescent="0.2">
      <c r="A25" s="920">
        <v>16</v>
      </c>
      <c r="B25" s="921">
        <v>44805</v>
      </c>
      <c r="C25" s="916" t="e">
        <f t="shared" si="3"/>
        <v>#VALUE!</v>
      </c>
      <c r="D25" s="917" t="e">
        <f t="shared" si="4"/>
        <v>#VALUE!</v>
      </c>
      <c r="E25" s="917" t="e">
        <f t="shared" si="5"/>
        <v>#VALUE!</v>
      </c>
      <c r="F25" s="918" t="e">
        <f t="shared" si="6"/>
        <v>#VALUE!</v>
      </c>
      <c r="G25" s="919"/>
      <c r="H25" s="835"/>
      <c r="I25" s="920">
        <v>16</v>
      </c>
      <c r="J25" s="921">
        <v>44805</v>
      </c>
      <c r="K25" s="916" t="e">
        <f t="shared" si="7"/>
        <v>#VALUE!</v>
      </c>
      <c r="L25" s="917" t="e">
        <f t="shared" si="8"/>
        <v>#VALUE!</v>
      </c>
      <c r="M25" s="917" t="e">
        <f t="shared" si="9"/>
        <v>#VALUE!</v>
      </c>
      <c r="N25" s="918" t="e">
        <f t="shared" si="10"/>
        <v>#VALUE!</v>
      </c>
      <c r="O25" s="919"/>
      <c r="P25" s="835"/>
      <c r="Q25" s="835"/>
      <c r="R25" s="835"/>
      <c r="S25" s="835"/>
      <c r="T25" s="835"/>
      <c r="U25" s="835"/>
    </row>
    <row r="26" spans="1:21" x14ac:dyDescent="0.2">
      <c r="A26" s="920">
        <v>17</v>
      </c>
      <c r="B26" s="921">
        <v>44835</v>
      </c>
      <c r="C26" s="916" t="e">
        <f t="shared" si="3"/>
        <v>#VALUE!</v>
      </c>
      <c r="D26" s="917" t="e">
        <f t="shared" si="4"/>
        <v>#VALUE!</v>
      </c>
      <c r="E26" s="917" t="e">
        <f t="shared" si="5"/>
        <v>#VALUE!</v>
      </c>
      <c r="F26" s="918" t="e">
        <f t="shared" si="6"/>
        <v>#VALUE!</v>
      </c>
      <c r="G26" s="919"/>
      <c r="H26" s="835"/>
      <c r="I26" s="920">
        <v>17</v>
      </c>
      <c r="J26" s="921">
        <v>44835</v>
      </c>
      <c r="K26" s="916" t="e">
        <f t="shared" si="7"/>
        <v>#VALUE!</v>
      </c>
      <c r="L26" s="917" t="e">
        <f t="shared" si="8"/>
        <v>#VALUE!</v>
      </c>
      <c r="M26" s="917" t="e">
        <f t="shared" si="9"/>
        <v>#VALUE!</v>
      </c>
      <c r="N26" s="918" t="e">
        <f t="shared" si="10"/>
        <v>#VALUE!</v>
      </c>
      <c r="O26" s="919"/>
      <c r="P26" s="835"/>
      <c r="Q26" s="835"/>
      <c r="R26" s="835"/>
      <c r="S26" s="835"/>
      <c r="T26" s="835"/>
      <c r="U26" s="835"/>
    </row>
    <row r="27" spans="1:21" x14ac:dyDescent="0.2">
      <c r="A27" s="920">
        <v>18</v>
      </c>
      <c r="B27" s="921">
        <v>44866</v>
      </c>
      <c r="C27" s="916" t="e">
        <f t="shared" si="3"/>
        <v>#VALUE!</v>
      </c>
      <c r="D27" s="917" t="e">
        <f t="shared" si="4"/>
        <v>#VALUE!</v>
      </c>
      <c r="E27" s="917" t="e">
        <f t="shared" si="5"/>
        <v>#VALUE!</v>
      </c>
      <c r="F27" s="918" t="e">
        <f t="shared" si="6"/>
        <v>#VALUE!</v>
      </c>
      <c r="G27" s="919"/>
      <c r="H27" s="835"/>
      <c r="I27" s="920">
        <v>18</v>
      </c>
      <c r="J27" s="921">
        <v>44866</v>
      </c>
      <c r="K27" s="916" t="e">
        <f t="shared" si="7"/>
        <v>#VALUE!</v>
      </c>
      <c r="L27" s="917" t="e">
        <f t="shared" si="8"/>
        <v>#VALUE!</v>
      </c>
      <c r="M27" s="917" t="e">
        <f t="shared" si="9"/>
        <v>#VALUE!</v>
      </c>
      <c r="N27" s="918" t="e">
        <f t="shared" si="10"/>
        <v>#VALUE!</v>
      </c>
      <c r="O27" s="919"/>
      <c r="P27" s="835"/>
      <c r="Q27" s="835"/>
      <c r="R27" s="835"/>
      <c r="S27" s="835"/>
      <c r="T27" s="835"/>
      <c r="U27" s="835"/>
    </row>
    <row r="28" spans="1:21" x14ac:dyDescent="0.2">
      <c r="A28" s="920">
        <v>19</v>
      </c>
      <c r="B28" s="921">
        <v>44896</v>
      </c>
      <c r="C28" s="916" t="e">
        <f t="shared" si="3"/>
        <v>#VALUE!</v>
      </c>
      <c r="D28" s="917" t="e">
        <f t="shared" si="4"/>
        <v>#VALUE!</v>
      </c>
      <c r="E28" s="917" t="e">
        <f t="shared" si="5"/>
        <v>#VALUE!</v>
      </c>
      <c r="F28" s="918" t="e">
        <f t="shared" si="6"/>
        <v>#VALUE!</v>
      </c>
      <c r="G28" s="919"/>
      <c r="H28" s="835"/>
      <c r="I28" s="920">
        <v>19</v>
      </c>
      <c r="J28" s="921">
        <v>44896</v>
      </c>
      <c r="K28" s="916" t="e">
        <f t="shared" si="7"/>
        <v>#VALUE!</v>
      </c>
      <c r="L28" s="917" t="e">
        <f t="shared" si="8"/>
        <v>#VALUE!</v>
      </c>
      <c r="M28" s="917" t="e">
        <f t="shared" si="9"/>
        <v>#VALUE!</v>
      </c>
      <c r="N28" s="918" t="e">
        <f t="shared" si="10"/>
        <v>#VALUE!</v>
      </c>
      <c r="O28" s="919"/>
      <c r="P28" s="835"/>
      <c r="Q28" s="835"/>
      <c r="R28" s="835"/>
      <c r="S28" s="835"/>
      <c r="T28" s="835"/>
      <c r="U28" s="835"/>
    </row>
    <row r="29" spans="1:21" x14ac:dyDescent="0.2">
      <c r="A29" s="920">
        <v>20</v>
      </c>
      <c r="B29" s="921">
        <v>44927</v>
      </c>
      <c r="C29" s="916" t="e">
        <f t="shared" si="3"/>
        <v>#VALUE!</v>
      </c>
      <c r="D29" s="917" t="e">
        <f t="shared" si="4"/>
        <v>#VALUE!</v>
      </c>
      <c r="E29" s="917" t="e">
        <f t="shared" si="5"/>
        <v>#VALUE!</v>
      </c>
      <c r="F29" s="918" t="e">
        <f t="shared" si="6"/>
        <v>#VALUE!</v>
      </c>
      <c r="G29" s="919"/>
      <c r="H29" s="835"/>
      <c r="I29" s="920">
        <v>20</v>
      </c>
      <c r="J29" s="921">
        <v>44927</v>
      </c>
      <c r="K29" s="916" t="e">
        <f t="shared" si="7"/>
        <v>#VALUE!</v>
      </c>
      <c r="L29" s="917" t="e">
        <f t="shared" si="8"/>
        <v>#VALUE!</v>
      </c>
      <c r="M29" s="917" t="e">
        <f t="shared" si="9"/>
        <v>#VALUE!</v>
      </c>
      <c r="N29" s="918" t="e">
        <f t="shared" si="10"/>
        <v>#VALUE!</v>
      </c>
      <c r="O29" s="919"/>
      <c r="P29" s="835"/>
      <c r="Q29" s="835"/>
      <c r="R29" s="835"/>
      <c r="S29" s="835"/>
      <c r="T29" s="835"/>
      <c r="U29" s="835"/>
    </row>
    <row r="30" spans="1:21" x14ac:dyDescent="0.2">
      <c r="A30" s="920">
        <v>21</v>
      </c>
      <c r="B30" s="921">
        <v>44958</v>
      </c>
      <c r="C30" s="916" t="e">
        <f t="shared" si="3"/>
        <v>#VALUE!</v>
      </c>
      <c r="D30" s="917" t="e">
        <f t="shared" si="4"/>
        <v>#VALUE!</v>
      </c>
      <c r="E30" s="917" t="e">
        <f t="shared" si="5"/>
        <v>#VALUE!</v>
      </c>
      <c r="F30" s="918" t="e">
        <f t="shared" si="6"/>
        <v>#VALUE!</v>
      </c>
      <c r="G30" s="919"/>
      <c r="H30" s="835"/>
      <c r="I30" s="920">
        <v>21</v>
      </c>
      <c r="J30" s="921">
        <v>44958</v>
      </c>
      <c r="K30" s="916" t="e">
        <f t="shared" si="7"/>
        <v>#VALUE!</v>
      </c>
      <c r="L30" s="917" t="e">
        <f t="shared" si="8"/>
        <v>#VALUE!</v>
      </c>
      <c r="M30" s="917" t="e">
        <f t="shared" si="9"/>
        <v>#VALUE!</v>
      </c>
      <c r="N30" s="918" t="e">
        <f t="shared" si="10"/>
        <v>#VALUE!</v>
      </c>
      <c r="O30" s="919"/>
      <c r="P30" s="835"/>
      <c r="Q30" s="835"/>
      <c r="R30" s="835"/>
      <c r="S30" s="835"/>
      <c r="T30" s="835"/>
      <c r="U30" s="835"/>
    </row>
    <row r="31" spans="1:21" x14ac:dyDescent="0.2">
      <c r="A31" s="920">
        <v>22</v>
      </c>
      <c r="B31" s="921">
        <v>44986</v>
      </c>
      <c r="C31" s="916" t="e">
        <f t="shared" si="3"/>
        <v>#VALUE!</v>
      </c>
      <c r="D31" s="917" t="e">
        <f t="shared" si="4"/>
        <v>#VALUE!</v>
      </c>
      <c r="E31" s="917" t="e">
        <f t="shared" si="5"/>
        <v>#VALUE!</v>
      </c>
      <c r="F31" s="918" t="e">
        <f t="shared" si="6"/>
        <v>#VALUE!</v>
      </c>
      <c r="G31" s="919"/>
      <c r="H31" s="835"/>
      <c r="I31" s="920">
        <v>22</v>
      </c>
      <c r="J31" s="921">
        <v>44986</v>
      </c>
      <c r="K31" s="916" t="e">
        <f t="shared" si="7"/>
        <v>#VALUE!</v>
      </c>
      <c r="L31" s="917" t="e">
        <f t="shared" si="8"/>
        <v>#VALUE!</v>
      </c>
      <c r="M31" s="917" t="e">
        <f t="shared" si="9"/>
        <v>#VALUE!</v>
      </c>
      <c r="N31" s="918" t="e">
        <f t="shared" si="10"/>
        <v>#VALUE!</v>
      </c>
      <c r="O31" s="919"/>
      <c r="P31" s="835"/>
      <c r="Q31" s="835"/>
      <c r="R31" s="835"/>
      <c r="S31" s="835"/>
      <c r="T31" s="835"/>
      <c r="U31" s="835"/>
    </row>
    <row r="32" spans="1:21" x14ac:dyDescent="0.2">
      <c r="A32" s="920">
        <v>23</v>
      </c>
      <c r="B32" s="921">
        <v>45017</v>
      </c>
      <c r="C32" s="916" t="e">
        <f t="shared" si="3"/>
        <v>#VALUE!</v>
      </c>
      <c r="D32" s="917" t="e">
        <f t="shared" si="4"/>
        <v>#VALUE!</v>
      </c>
      <c r="E32" s="917" t="e">
        <f t="shared" si="5"/>
        <v>#VALUE!</v>
      </c>
      <c r="F32" s="918" t="e">
        <f t="shared" si="6"/>
        <v>#VALUE!</v>
      </c>
      <c r="G32" s="919"/>
      <c r="H32" s="835"/>
      <c r="I32" s="920">
        <v>23</v>
      </c>
      <c r="J32" s="921">
        <v>45017</v>
      </c>
      <c r="K32" s="916" t="e">
        <f t="shared" si="7"/>
        <v>#VALUE!</v>
      </c>
      <c r="L32" s="917" t="e">
        <f t="shared" si="8"/>
        <v>#VALUE!</v>
      </c>
      <c r="M32" s="917" t="e">
        <f t="shared" si="9"/>
        <v>#VALUE!</v>
      </c>
      <c r="N32" s="918" t="e">
        <f t="shared" si="10"/>
        <v>#VALUE!</v>
      </c>
      <c r="O32" s="919"/>
      <c r="P32" s="835"/>
      <c r="Q32" s="835"/>
      <c r="R32" s="835"/>
      <c r="S32" s="835"/>
      <c r="T32" s="835"/>
      <c r="U32" s="835"/>
    </row>
    <row r="33" spans="1:15" ht="15" thickBot="1" x14ac:dyDescent="0.25">
      <c r="A33" s="920">
        <v>24</v>
      </c>
      <c r="B33" s="921">
        <v>45047</v>
      </c>
      <c r="C33" s="931" t="e">
        <f t="shared" si="3"/>
        <v>#VALUE!</v>
      </c>
      <c r="D33" s="932" t="e">
        <f t="shared" si="4"/>
        <v>#VALUE!</v>
      </c>
      <c r="E33" s="932" t="e">
        <f t="shared" si="5"/>
        <v>#VALUE!</v>
      </c>
      <c r="F33" s="933" t="e">
        <f t="shared" si="6"/>
        <v>#VALUE!</v>
      </c>
      <c r="G33" s="1036"/>
      <c r="H33" s="835"/>
      <c r="I33" s="920">
        <v>24</v>
      </c>
      <c r="J33" s="921">
        <v>45047</v>
      </c>
      <c r="K33" s="931" t="e">
        <f t="shared" si="7"/>
        <v>#VALUE!</v>
      </c>
      <c r="L33" s="932" t="e">
        <f t="shared" si="8"/>
        <v>#VALUE!</v>
      </c>
      <c r="M33" s="932" t="e">
        <f t="shared" si="9"/>
        <v>#VALUE!</v>
      </c>
      <c r="N33" s="933" t="e">
        <f t="shared" si="10"/>
        <v>#VALUE!</v>
      </c>
      <c r="O33" s="1036"/>
    </row>
    <row r="34" spans="1:15" x14ac:dyDescent="0.2">
      <c r="A34" s="934">
        <v>25</v>
      </c>
      <c r="B34" s="935">
        <v>45078</v>
      </c>
      <c r="C34" s="936" t="e">
        <f t="shared" si="3"/>
        <v>#VALUE!</v>
      </c>
      <c r="D34" s="937" t="e">
        <f t="shared" si="4"/>
        <v>#VALUE!</v>
      </c>
      <c r="E34" s="937" t="e">
        <f t="shared" si="5"/>
        <v>#VALUE!</v>
      </c>
      <c r="F34" s="938" t="e">
        <f t="shared" si="6"/>
        <v>#VALUE!</v>
      </c>
      <c r="G34" s="1038" t="e">
        <f>$G$8*AVERAGE(C34:C45)</f>
        <v>#VALUE!</v>
      </c>
      <c r="H34" s="835"/>
      <c r="I34" s="934">
        <v>25</v>
      </c>
      <c r="J34" s="935">
        <v>45078</v>
      </c>
      <c r="K34" s="936" t="e">
        <f t="shared" si="7"/>
        <v>#VALUE!</v>
      </c>
      <c r="L34" s="937" t="e">
        <f t="shared" si="8"/>
        <v>#VALUE!</v>
      </c>
      <c r="M34" s="937" t="e">
        <f t="shared" si="9"/>
        <v>#VALUE!</v>
      </c>
      <c r="N34" s="938" t="e">
        <f t="shared" si="10"/>
        <v>#VALUE!</v>
      </c>
      <c r="O34" s="1038" t="e">
        <f>$G$8*AVERAGE(K34:K45)</f>
        <v>#VALUE!</v>
      </c>
    </row>
    <row r="35" spans="1:15" x14ac:dyDescent="0.2">
      <c r="A35" s="920">
        <v>26</v>
      </c>
      <c r="B35" s="921">
        <v>45108</v>
      </c>
      <c r="C35" s="916" t="e">
        <f t="shared" si="3"/>
        <v>#VALUE!</v>
      </c>
      <c r="D35" s="917" t="e">
        <f t="shared" si="4"/>
        <v>#VALUE!</v>
      </c>
      <c r="E35" s="917" t="e">
        <f t="shared" si="5"/>
        <v>#VALUE!</v>
      </c>
      <c r="F35" s="918" t="e">
        <f t="shared" si="6"/>
        <v>#VALUE!</v>
      </c>
      <c r="G35" s="919"/>
      <c r="H35" s="835"/>
      <c r="I35" s="920">
        <v>26</v>
      </c>
      <c r="J35" s="921">
        <v>45108</v>
      </c>
      <c r="K35" s="916" t="e">
        <f t="shared" si="7"/>
        <v>#VALUE!</v>
      </c>
      <c r="L35" s="917" t="e">
        <f t="shared" si="8"/>
        <v>#VALUE!</v>
      </c>
      <c r="M35" s="917" t="e">
        <f t="shared" si="9"/>
        <v>#VALUE!</v>
      </c>
      <c r="N35" s="918" t="e">
        <f t="shared" si="10"/>
        <v>#VALUE!</v>
      </c>
      <c r="O35" s="919"/>
    </row>
    <row r="36" spans="1:15" x14ac:dyDescent="0.2">
      <c r="A36" s="920">
        <v>27</v>
      </c>
      <c r="B36" s="921">
        <v>45139</v>
      </c>
      <c r="C36" s="916" t="e">
        <f t="shared" si="3"/>
        <v>#VALUE!</v>
      </c>
      <c r="D36" s="917" t="e">
        <f t="shared" si="4"/>
        <v>#VALUE!</v>
      </c>
      <c r="E36" s="917" t="e">
        <f t="shared" si="5"/>
        <v>#VALUE!</v>
      </c>
      <c r="F36" s="918" t="e">
        <f t="shared" si="6"/>
        <v>#VALUE!</v>
      </c>
      <c r="G36" s="919"/>
      <c r="H36" s="835"/>
      <c r="I36" s="920">
        <v>27</v>
      </c>
      <c r="J36" s="921">
        <v>45139</v>
      </c>
      <c r="K36" s="916" t="e">
        <f t="shared" si="7"/>
        <v>#VALUE!</v>
      </c>
      <c r="L36" s="917" t="e">
        <f t="shared" si="8"/>
        <v>#VALUE!</v>
      </c>
      <c r="M36" s="917" t="e">
        <f t="shared" si="9"/>
        <v>#VALUE!</v>
      </c>
      <c r="N36" s="918" t="e">
        <f t="shared" si="10"/>
        <v>#VALUE!</v>
      </c>
      <c r="O36" s="919"/>
    </row>
    <row r="37" spans="1:15" x14ac:dyDescent="0.2">
      <c r="A37" s="920">
        <v>28</v>
      </c>
      <c r="B37" s="921">
        <v>45170</v>
      </c>
      <c r="C37" s="916" t="e">
        <f t="shared" si="3"/>
        <v>#VALUE!</v>
      </c>
      <c r="D37" s="917" t="e">
        <f t="shared" si="4"/>
        <v>#VALUE!</v>
      </c>
      <c r="E37" s="917" t="e">
        <f t="shared" si="5"/>
        <v>#VALUE!</v>
      </c>
      <c r="F37" s="918" t="e">
        <f t="shared" si="6"/>
        <v>#VALUE!</v>
      </c>
      <c r="G37" s="919"/>
      <c r="H37" s="835"/>
      <c r="I37" s="920">
        <v>28</v>
      </c>
      <c r="J37" s="921">
        <v>45170</v>
      </c>
      <c r="K37" s="916" t="e">
        <f t="shared" si="7"/>
        <v>#VALUE!</v>
      </c>
      <c r="L37" s="917" t="e">
        <f t="shared" si="8"/>
        <v>#VALUE!</v>
      </c>
      <c r="M37" s="917" t="e">
        <f t="shared" si="9"/>
        <v>#VALUE!</v>
      </c>
      <c r="N37" s="918" t="e">
        <f t="shared" si="10"/>
        <v>#VALUE!</v>
      </c>
      <c r="O37" s="919"/>
    </row>
    <row r="38" spans="1:15" x14ac:dyDescent="0.2">
      <c r="A38" s="920">
        <v>29</v>
      </c>
      <c r="B38" s="921">
        <v>45200</v>
      </c>
      <c r="C38" s="916" t="e">
        <f t="shared" si="3"/>
        <v>#VALUE!</v>
      </c>
      <c r="D38" s="917" t="e">
        <f t="shared" si="4"/>
        <v>#VALUE!</v>
      </c>
      <c r="E38" s="917" t="e">
        <f t="shared" si="5"/>
        <v>#VALUE!</v>
      </c>
      <c r="F38" s="918" t="e">
        <f t="shared" si="6"/>
        <v>#VALUE!</v>
      </c>
      <c r="G38" s="919"/>
      <c r="H38" s="835"/>
      <c r="I38" s="920">
        <v>29</v>
      </c>
      <c r="J38" s="921">
        <v>45200</v>
      </c>
      <c r="K38" s="916" t="e">
        <f t="shared" si="7"/>
        <v>#VALUE!</v>
      </c>
      <c r="L38" s="917" t="e">
        <f t="shared" si="8"/>
        <v>#VALUE!</v>
      </c>
      <c r="M38" s="917" t="e">
        <f t="shared" si="9"/>
        <v>#VALUE!</v>
      </c>
      <c r="N38" s="918" t="e">
        <f t="shared" si="10"/>
        <v>#VALUE!</v>
      </c>
      <c r="O38" s="919"/>
    </row>
    <row r="39" spans="1:15" x14ac:dyDescent="0.2">
      <c r="A39" s="920">
        <v>30</v>
      </c>
      <c r="B39" s="921">
        <v>45231</v>
      </c>
      <c r="C39" s="916" t="e">
        <f t="shared" si="3"/>
        <v>#VALUE!</v>
      </c>
      <c r="D39" s="917" t="e">
        <f t="shared" si="4"/>
        <v>#VALUE!</v>
      </c>
      <c r="E39" s="917" t="e">
        <f t="shared" si="5"/>
        <v>#VALUE!</v>
      </c>
      <c r="F39" s="918" t="e">
        <f t="shared" si="6"/>
        <v>#VALUE!</v>
      </c>
      <c r="G39" s="919"/>
      <c r="H39" s="835"/>
      <c r="I39" s="920">
        <v>30</v>
      </c>
      <c r="J39" s="921">
        <v>45231</v>
      </c>
      <c r="K39" s="916" t="e">
        <f t="shared" si="7"/>
        <v>#VALUE!</v>
      </c>
      <c r="L39" s="917" t="e">
        <f t="shared" si="8"/>
        <v>#VALUE!</v>
      </c>
      <c r="M39" s="917" t="e">
        <f t="shared" si="9"/>
        <v>#VALUE!</v>
      </c>
      <c r="N39" s="918" t="e">
        <f t="shared" si="10"/>
        <v>#VALUE!</v>
      </c>
      <c r="O39" s="919"/>
    </row>
    <row r="40" spans="1:15" x14ac:dyDescent="0.2">
      <c r="A40" s="920">
        <v>31</v>
      </c>
      <c r="B40" s="921">
        <v>45261</v>
      </c>
      <c r="C40" s="916" t="e">
        <f t="shared" si="3"/>
        <v>#VALUE!</v>
      </c>
      <c r="D40" s="917" t="e">
        <f t="shared" si="4"/>
        <v>#VALUE!</v>
      </c>
      <c r="E40" s="917" t="e">
        <f t="shared" si="5"/>
        <v>#VALUE!</v>
      </c>
      <c r="F40" s="918" t="e">
        <f t="shared" si="6"/>
        <v>#VALUE!</v>
      </c>
      <c r="G40" s="919"/>
      <c r="H40" s="835"/>
      <c r="I40" s="920">
        <v>31</v>
      </c>
      <c r="J40" s="921">
        <v>45261</v>
      </c>
      <c r="K40" s="916" t="e">
        <f t="shared" si="7"/>
        <v>#VALUE!</v>
      </c>
      <c r="L40" s="917" t="e">
        <f t="shared" si="8"/>
        <v>#VALUE!</v>
      </c>
      <c r="M40" s="917" t="e">
        <f t="shared" si="9"/>
        <v>#VALUE!</v>
      </c>
      <c r="N40" s="918" t="e">
        <f t="shared" si="10"/>
        <v>#VALUE!</v>
      </c>
      <c r="O40" s="919"/>
    </row>
    <row r="41" spans="1:15" x14ac:dyDescent="0.2">
      <c r="A41" s="920">
        <v>32</v>
      </c>
      <c r="B41" s="921">
        <v>45292</v>
      </c>
      <c r="C41" s="916" t="e">
        <f t="shared" si="3"/>
        <v>#VALUE!</v>
      </c>
      <c r="D41" s="917" t="e">
        <f t="shared" si="4"/>
        <v>#VALUE!</v>
      </c>
      <c r="E41" s="917" t="e">
        <f t="shared" si="5"/>
        <v>#VALUE!</v>
      </c>
      <c r="F41" s="918" t="e">
        <f t="shared" si="6"/>
        <v>#VALUE!</v>
      </c>
      <c r="G41" s="919"/>
      <c r="H41" s="835"/>
      <c r="I41" s="920">
        <v>32</v>
      </c>
      <c r="J41" s="921">
        <v>45292</v>
      </c>
      <c r="K41" s="916" t="e">
        <f t="shared" si="7"/>
        <v>#VALUE!</v>
      </c>
      <c r="L41" s="917" t="e">
        <f t="shared" si="8"/>
        <v>#VALUE!</v>
      </c>
      <c r="M41" s="917" t="e">
        <f t="shared" si="9"/>
        <v>#VALUE!</v>
      </c>
      <c r="N41" s="918" t="e">
        <f t="shared" si="10"/>
        <v>#VALUE!</v>
      </c>
      <c r="O41" s="919"/>
    </row>
    <row r="42" spans="1:15" x14ac:dyDescent="0.2">
      <c r="A42" s="920">
        <v>33</v>
      </c>
      <c r="B42" s="921">
        <v>45323</v>
      </c>
      <c r="C42" s="916" t="e">
        <f t="shared" si="3"/>
        <v>#VALUE!</v>
      </c>
      <c r="D42" s="917" t="e">
        <f t="shared" si="4"/>
        <v>#VALUE!</v>
      </c>
      <c r="E42" s="917" t="e">
        <f t="shared" si="5"/>
        <v>#VALUE!</v>
      </c>
      <c r="F42" s="918" t="e">
        <f t="shared" si="6"/>
        <v>#VALUE!</v>
      </c>
      <c r="G42" s="919"/>
      <c r="H42" s="835"/>
      <c r="I42" s="920">
        <v>33</v>
      </c>
      <c r="J42" s="921">
        <v>45323</v>
      </c>
      <c r="K42" s="916" t="e">
        <f t="shared" si="7"/>
        <v>#VALUE!</v>
      </c>
      <c r="L42" s="917" t="e">
        <f t="shared" si="8"/>
        <v>#VALUE!</v>
      </c>
      <c r="M42" s="917" t="e">
        <f t="shared" si="9"/>
        <v>#VALUE!</v>
      </c>
      <c r="N42" s="918" t="e">
        <f t="shared" si="10"/>
        <v>#VALUE!</v>
      </c>
      <c r="O42" s="919"/>
    </row>
    <row r="43" spans="1:15" x14ac:dyDescent="0.2">
      <c r="A43" s="920">
        <v>34</v>
      </c>
      <c r="B43" s="921">
        <v>45352</v>
      </c>
      <c r="C43" s="916" t="e">
        <f t="shared" si="3"/>
        <v>#VALUE!</v>
      </c>
      <c r="D43" s="917" t="e">
        <f t="shared" si="4"/>
        <v>#VALUE!</v>
      </c>
      <c r="E43" s="917" t="e">
        <f t="shared" si="5"/>
        <v>#VALUE!</v>
      </c>
      <c r="F43" s="918" t="e">
        <f t="shared" si="6"/>
        <v>#VALUE!</v>
      </c>
      <c r="G43" s="919"/>
      <c r="H43" s="835"/>
      <c r="I43" s="920">
        <v>34</v>
      </c>
      <c r="J43" s="921">
        <v>45352</v>
      </c>
      <c r="K43" s="916" t="e">
        <f t="shared" si="7"/>
        <v>#VALUE!</v>
      </c>
      <c r="L43" s="917" t="e">
        <f t="shared" si="8"/>
        <v>#VALUE!</v>
      </c>
      <c r="M43" s="917" t="e">
        <f t="shared" si="9"/>
        <v>#VALUE!</v>
      </c>
      <c r="N43" s="918" t="e">
        <f t="shared" si="10"/>
        <v>#VALUE!</v>
      </c>
      <c r="O43" s="919"/>
    </row>
    <row r="44" spans="1:15" x14ac:dyDescent="0.2">
      <c r="A44" s="920">
        <v>35</v>
      </c>
      <c r="B44" s="921">
        <v>45383</v>
      </c>
      <c r="C44" s="916" t="e">
        <f t="shared" si="3"/>
        <v>#VALUE!</v>
      </c>
      <c r="D44" s="917" t="e">
        <f t="shared" si="4"/>
        <v>#VALUE!</v>
      </c>
      <c r="E44" s="917" t="e">
        <f t="shared" si="5"/>
        <v>#VALUE!</v>
      </c>
      <c r="F44" s="918" t="e">
        <f t="shared" si="6"/>
        <v>#VALUE!</v>
      </c>
      <c r="G44" s="919"/>
      <c r="H44" s="835"/>
      <c r="I44" s="920">
        <v>35</v>
      </c>
      <c r="J44" s="921">
        <v>45383</v>
      </c>
      <c r="K44" s="916" t="e">
        <f t="shared" si="7"/>
        <v>#VALUE!</v>
      </c>
      <c r="L44" s="917" t="e">
        <f t="shared" si="8"/>
        <v>#VALUE!</v>
      </c>
      <c r="M44" s="917" t="e">
        <f t="shared" si="9"/>
        <v>#VALUE!</v>
      </c>
      <c r="N44" s="918" t="e">
        <f t="shared" si="10"/>
        <v>#VALUE!</v>
      </c>
      <c r="O44" s="919"/>
    </row>
    <row r="45" spans="1:15" ht="15" thickBot="1" x14ac:dyDescent="0.25">
      <c r="A45" s="922">
        <v>36</v>
      </c>
      <c r="B45" s="923">
        <v>45413</v>
      </c>
      <c r="C45" s="924" t="e">
        <f t="shared" si="3"/>
        <v>#VALUE!</v>
      </c>
      <c r="D45" s="925" t="e">
        <f t="shared" si="4"/>
        <v>#VALUE!</v>
      </c>
      <c r="E45" s="925" t="e">
        <f t="shared" si="5"/>
        <v>#VALUE!</v>
      </c>
      <c r="F45" s="926" t="e">
        <f t="shared" si="6"/>
        <v>#VALUE!</v>
      </c>
      <c r="G45" s="927"/>
      <c r="H45" s="835"/>
      <c r="I45" s="922">
        <v>36</v>
      </c>
      <c r="J45" s="923">
        <v>45413</v>
      </c>
      <c r="K45" s="924" t="e">
        <f t="shared" si="7"/>
        <v>#VALUE!</v>
      </c>
      <c r="L45" s="925" t="e">
        <f t="shared" si="8"/>
        <v>#VALUE!</v>
      </c>
      <c r="M45" s="925" t="e">
        <f t="shared" si="9"/>
        <v>#VALUE!</v>
      </c>
      <c r="N45" s="926" t="e">
        <f t="shared" si="10"/>
        <v>#VALUE!</v>
      </c>
      <c r="O45" s="1036"/>
    </row>
    <row r="46" spans="1:15" x14ac:dyDescent="0.2">
      <c r="A46" s="920">
        <v>37</v>
      </c>
      <c r="B46" s="921">
        <v>45444</v>
      </c>
      <c r="C46" s="928" t="e">
        <f t="shared" si="3"/>
        <v>#VALUE!</v>
      </c>
      <c r="D46" s="929" t="e">
        <f t="shared" si="4"/>
        <v>#VALUE!</v>
      </c>
      <c r="E46" s="929" t="e">
        <f t="shared" si="5"/>
        <v>#VALUE!</v>
      </c>
      <c r="F46" s="930" t="e">
        <f t="shared" si="6"/>
        <v>#VALUE!</v>
      </c>
      <c r="G46" s="1038" t="e">
        <f>$G$8*AVERAGE(C46:C57)</f>
        <v>#VALUE!</v>
      </c>
      <c r="H46" s="835"/>
      <c r="I46" s="920">
        <v>37</v>
      </c>
      <c r="J46" s="921">
        <v>45444</v>
      </c>
      <c r="K46" s="928" t="e">
        <f t="shared" si="7"/>
        <v>#VALUE!</v>
      </c>
      <c r="L46" s="929" t="e">
        <f t="shared" si="8"/>
        <v>#VALUE!</v>
      </c>
      <c r="M46" s="929" t="e">
        <f t="shared" si="9"/>
        <v>#VALUE!</v>
      </c>
      <c r="N46" s="930" t="e">
        <f t="shared" si="10"/>
        <v>#VALUE!</v>
      </c>
      <c r="O46" s="1038" t="e">
        <f>$G$8*AVERAGE(K46:K57)</f>
        <v>#VALUE!</v>
      </c>
    </row>
    <row r="47" spans="1:15" x14ac:dyDescent="0.2">
      <c r="A47" s="920">
        <v>38</v>
      </c>
      <c r="B47" s="921">
        <v>45474</v>
      </c>
      <c r="C47" s="916" t="e">
        <f t="shared" si="3"/>
        <v>#VALUE!</v>
      </c>
      <c r="D47" s="917" t="e">
        <f t="shared" si="4"/>
        <v>#VALUE!</v>
      </c>
      <c r="E47" s="917" t="e">
        <f t="shared" si="5"/>
        <v>#VALUE!</v>
      </c>
      <c r="F47" s="918" t="e">
        <f t="shared" si="6"/>
        <v>#VALUE!</v>
      </c>
      <c r="G47" s="919"/>
      <c r="H47" s="835"/>
      <c r="I47" s="920">
        <v>38</v>
      </c>
      <c r="J47" s="921">
        <v>45474</v>
      </c>
      <c r="K47" s="916" t="e">
        <f t="shared" si="7"/>
        <v>#VALUE!</v>
      </c>
      <c r="L47" s="917" t="e">
        <f t="shared" si="8"/>
        <v>#VALUE!</v>
      </c>
      <c r="M47" s="917" t="e">
        <f t="shared" si="9"/>
        <v>#VALUE!</v>
      </c>
      <c r="N47" s="918" t="e">
        <f t="shared" si="10"/>
        <v>#VALUE!</v>
      </c>
      <c r="O47" s="919"/>
    </row>
    <row r="48" spans="1:15" x14ac:dyDescent="0.2">
      <c r="A48" s="920">
        <v>39</v>
      </c>
      <c r="B48" s="921">
        <v>45505</v>
      </c>
      <c r="C48" s="916" t="e">
        <f t="shared" si="3"/>
        <v>#VALUE!</v>
      </c>
      <c r="D48" s="917" t="e">
        <f t="shared" si="4"/>
        <v>#VALUE!</v>
      </c>
      <c r="E48" s="917" t="e">
        <f t="shared" si="5"/>
        <v>#VALUE!</v>
      </c>
      <c r="F48" s="918" t="e">
        <f t="shared" si="6"/>
        <v>#VALUE!</v>
      </c>
      <c r="G48" s="919"/>
      <c r="H48" s="835"/>
      <c r="I48" s="920">
        <v>39</v>
      </c>
      <c r="J48" s="921">
        <v>45505</v>
      </c>
      <c r="K48" s="916" t="e">
        <f t="shared" si="7"/>
        <v>#VALUE!</v>
      </c>
      <c r="L48" s="917" t="e">
        <f t="shared" si="8"/>
        <v>#VALUE!</v>
      </c>
      <c r="M48" s="917" t="e">
        <f t="shared" si="9"/>
        <v>#VALUE!</v>
      </c>
      <c r="N48" s="918" t="e">
        <f t="shared" si="10"/>
        <v>#VALUE!</v>
      </c>
      <c r="O48" s="919"/>
    </row>
    <row r="49" spans="1:15" x14ac:dyDescent="0.2">
      <c r="A49" s="920">
        <v>40</v>
      </c>
      <c r="B49" s="921">
        <v>45536</v>
      </c>
      <c r="C49" s="916" t="e">
        <f t="shared" si="3"/>
        <v>#VALUE!</v>
      </c>
      <c r="D49" s="917" t="e">
        <f t="shared" si="4"/>
        <v>#VALUE!</v>
      </c>
      <c r="E49" s="917" t="e">
        <f t="shared" si="5"/>
        <v>#VALUE!</v>
      </c>
      <c r="F49" s="918" t="e">
        <f t="shared" si="6"/>
        <v>#VALUE!</v>
      </c>
      <c r="G49" s="919"/>
      <c r="H49" s="835"/>
      <c r="I49" s="920">
        <v>40</v>
      </c>
      <c r="J49" s="921">
        <v>45536</v>
      </c>
      <c r="K49" s="916" t="e">
        <f t="shared" si="7"/>
        <v>#VALUE!</v>
      </c>
      <c r="L49" s="917" t="e">
        <f t="shared" si="8"/>
        <v>#VALUE!</v>
      </c>
      <c r="M49" s="917" t="e">
        <f t="shared" si="9"/>
        <v>#VALUE!</v>
      </c>
      <c r="N49" s="918" t="e">
        <f t="shared" si="10"/>
        <v>#VALUE!</v>
      </c>
      <c r="O49" s="919"/>
    </row>
    <row r="50" spans="1:15" x14ac:dyDescent="0.2">
      <c r="A50" s="920">
        <v>41</v>
      </c>
      <c r="B50" s="921">
        <v>45566</v>
      </c>
      <c r="C50" s="916" t="e">
        <f t="shared" si="3"/>
        <v>#VALUE!</v>
      </c>
      <c r="D50" s="917" t="e">
        <f t="shared" si="4"/>
        <v>#VALUE!</v>
      </c>
      <c r="E50" s="917" t="e">
        <f t="shared" si="5"/>
        <v>#VALUE!</v>
      </c>
      <c r="F50" s="918" t="e">
        <f t="shared" si="6"/>
        <v>#VALUE!</v>
      </c>
      <c r="G50" s="919"/>
      <c r="H50" s="835"/>
      <c r="I50" s="920">
        <v>41</v>
      </c>
      <c r="J50" s="921">
        <v>45566</v>
      </c>
      <c r="K50" s="916" t="e">
        <f t="shared" si="7"/>
        <v>#VALUE!</v>
      </c>
      <c r="L50" s="917" t="e">
        <f t="shared" si="8"/>
        <v>#VALUE!</v>
      </c>
      <c r="M50" s="917" t="e">
        <f t="shared" si="9"/>
        <v>#VALUE!</v>
      </c>
      <c r="N50" s="918" t="e">
        <f t="shared" si="10"/>
        <v>#VALUE!</v>
      </c>
      <c r="O50" s="919"/>
    </row>
    <row r="51" spans="1:15" x14ac:dyDescent="0.2">
      <c r="A51" s="920">
        <v>42</v>
      </c>
      <c r="B51" s="921">
        <v>45597</v>
      </c>
      <c r="C51" s="916" t="e">
        <f t="shared" si="3"/>
        <v>#VALUE!</v>
      </c>
      <c r="D51" s="917" t="e">
        <f t="shared" si="4"/>
        <v>#VALUE!</v>
      </c>
      <c r="E51" s="917" t="e">
        <f t="shared" si="5"/>
        <v>#VALUE!</v>
      </c>
      <c r="F51" s="918" t="e">
        <f t="shared" si="6"/>
        <v>#VALUE!</v>
      </c>
      <c r="G51" s="919"/>
      <c r="H51" s="835"/>
      <c r="I51" s="920">
        <v>42</v>
      </c>
      <c r="J51" s="921">
        <v>45597</v>
      </c>
      <c r="K51" s="916" t="e">
        <f t="shared" si="7"/>
        <v>#VALUE!</v>
      </c>
      <c r="L51" s="917" t="e">
        <f t="shared" si="8"/>
        <v>#VALUE!</v>
      </c>
      <c r="M51" s="917" t="e">
        <f t="shared" si="9"/>
        <v>#VALUE!</v>
      </c>
      <c r="N51" s="918" t="e">
        <f t="shared" si="10"/>
        <v>#VALUE!</v>
      </c>
      <c r="O51" s="919"/>
    </row>
    <row r="52" spans="1:15" x14ac:dyDescent="0.2">
      <c r="A52" s="920">
        <v>43</v>
      </c>
      <c r="B52" s="921">
        <v>45627</v>
      </c>
      <c r="C52" s="916" t="e">
        <f t="shared" si="3"/>
        <v>#VALUE!</v>
      </c>
      <c r="D52" s="917" t="e">
        <f t="shared" si="4"/>
        <v>#VALUE!</v>
      </c>
      <c r="E52" s="917" t="e">
        <f t="shared" si="5"/>
        <v>#VALUE!</v>
      </c>
      <c r="F52" s="918" t="e">
        <f t="shared" si="6"/>
        <v>#VALUE!</v>
      </c>
      <c r="G52" s="919"/>
      <c r="H52" s="835"/>
      <c r="I52" s="920">
        <v>43</v>
      </c>
      <c r="J52" s="921">
        <v>45627</v>
      </c>
      <c r="K52" s="916" t="e">
        <f t="shared" si="7"/>
        <v>#VALUE!</v>
      </c>
      <c r="L52" s="917" t="e">
        <f t="shared" si="8"/>
        <v>#VALUE!</v>
      </c>
      <c r="M52" s="917" t="e">
        <f t="shared" si="9"/>
        <v>#VALUE!</v>
      </c>
      <c r="N52" s="918" t="e">
        <f t="shared" si="10"/>
        <v>#VALUE!</v>
      </c>
      <c r="O52" s="919"/>
    </row>
    <row r="53" spans="1:15" x14ac:dyDescent="0.2">
      <c r="A53" s="920">
        <v>44</v>
      </c>
      <c r="B53" s="921">
        <v>45658</v>
      </c>
      <c r="C53" s="916" t="e">
        <f t="shared" si="3"/>
        <v>#VALUE!</v>
      </c>
      <c r="D53" s="917" t="e">
        <f t="shared" si="4"/>
        <v>#VALUE!</v>
      </c>
      <c r="E53" s="917" t="e">
        <f t="shared" si="5"/>
        <v>#VALUE!</v>
      </c>
      <c r="F53" s="918" t="e">
        <f t="shared" si="6"/>
        <v>#VALUE!</v>
      </c>
      <c r="G53" s="919"/>
      <c r="H53" s="835"/>
      <c r="I53" s="920">
        <v>44</v>
      </c>
      <c r="J53" s="921">
        <v>45658</v>
      </c>
      <c r="K53" s="916" t="e">
        <f t="shared" si="7"/>
        <v>#VALUE!</v>
      </c>
      <c r="L53" s="917" t="e">
        <f t="shared" si="8"/>
        <v>#VALUE!</v>
      </c>
      <c r="M53" s="917" t="e">
        <f t="shared" si="9"/>
        <v>#VALUE!</v>
      </c>
      <c r="N53" s="918" t="e">
        <f t="shared" si="10"/>
        <v>#VALUE!</v>
      </c>
      <c r="O53" s="919"/>
    </row>
    <row r="54" spans="1:15" x14ac:dyDescent="0.2">
      <c r="A54" s="920">
        <v>45</v>
      </c>
      <c r="B54" s="921">
        <v>45689</v>
      </c>
      <c r="C54" s="916" t="e">
        <f t="shared" si="3"/>
        <v>#VALUE!</v>
      </c>
      <c r="D54" s="917" t="e">
        <f t="shared" si="4"/>
        <v>#VALUE!</v>
      </c>
      <c r="E54" s="917" t="e">
        <f t="shared" si="5"/>
        <v>#VALUE!</v>
      </c>
      <c r="F54" s="918" t="e">
        <f t="shared" si="6"/>
        <v>#VALUE!</v>
      </c>
      <c r="G54" s="919"/>
      <c r="H54" s="835"/>
      <c r="I54" s="920">
        <v>45</v>
      </c>
      <c r="J54" s="921">
        <v>45689</v>
      </c>
      <c r="K54" s="916" t="e">
        <f t="shared" si="7"/>
        <v>#VALUE!</v>
      </c>
      <c r="L54" s="917" t="e">
        <f t="shared" si="8"/>
        <v>#VALUE!</v>
      </c>
      <c r="M54" s="917" t="e">
        <f t="shared" si="9"/>
        <v>#VALUE!</v>
      </c>
      <c r="N54" s="918" t="e">
        <f t="shared" si="10"/>
        <v>#VALUE!</v>
      </c>
      <c r="O54" s="919"/>
    </row>
    <row r="55" spans="1:15" x14ac:dyDescent="0.2">
      <c r="A55" s="920">
        <v>46</v>
      </c>
      <c r="B55" s="921">
        <v>45717</v>
      </c>
      <c r="C55" s="916" t="e">
        <f t="shared" si="3"/>
        <v>#VALUE!</v>
      </c>
      <c r="D55" s="917" t="e">
        <f t="shared" si="4"/>
        <v>#VALUE!</v>
      </c>
      <c r="E55" s="917" t="e">
        <f t="shared" si="5"/>
        <v>#VALUE!</v>
      </c>
      <c r="F55" s="918" t="e">
        <f t="shared" si="6"/>
        <v>#VALUE!</v>
      </c>
      <c r="G55" s="919"/>
      <c r="H55" s="835"/>
      <c r="I55" s="920">
        <v>46</v>
      </c>
      <c r="J55" s="921">
        <v>45717</v>
      </c>
      <c r="K55" s="916" t="e">
        <f t="shared" si="7"/>
        <v>#VALUE!</v>
      </c>
      <c r="L55" s="917" t="e">
        <f t="shared" si="8"/>
        <v>#VALUE!</v>
      </c>
      <c r="M55" s="917" t="e">
        <f t="shared" si="9"/>
        <v>#VALUE!</v>
      </c>
      <c r="N55" s="918" t="e">
        <f t="shared" si="10"/>
        <v>#VALUE!</v>
      </c>
      <c r="O55" s="919"/>
    </row>
    <row r="56" spans="1:15" x14ac:dyDescent="0.2">
      <c r="A56" s="920">
        <v>47</v>
      </c>
      <c r="B56" s="921">
        <v>45748</v>
      </c>
      <c r="C56" s="916" t="e">
        <f t="shared" si="3"/>
        <v>#VALUE!</v>
      </c>
      <c r="D56" s="917" t="e">
        <f t="shared" si="4"/>
        <v>#VALUE!</v>
      </c>
      <c r="E56" s="917" t="e">
        <f t="shared" si="5"/>
        <v>#VALUE!</v>
      </c>
      <c r="F56" s="918" t="e">
        <f t="shared" si="6"/>
        <v>#VALUE!</v>
      </c>
      <c r="G56" s="919"/>
      <c r="H56" s="835"/>
      <c r="I56" s="920">
        <v>47</v>
      </c>
      <c r="J56" s="921">
        <v>45748</v>
      </c>
      <c r="K56" s="916" t="e">
        <f t="shared" si="7"/>
        <v>#VALUE!</v>
      </c>
      <c r="L56" s="917" t="e">
        <f t="shared" si="8"/>
        <v>#VALUE!</v>
      </c>
      <c r="M56" s="917" t="e">
        <f t="shared" si="9"/>
        <v>#VALUE!</v>
      </c>
      <c r="N56" s="918" t="e">
        <f t="shared" si="10"/>
        <v>#VALUE!</v>
      </c>
      <c r="O56" s="919"/>
    </row>
    <row r="57" spans="1:15" ht="15" thickBot="1" x14ac:dyDescent="0.25">
      <c r="A57" s="920">
        <v>48</v>
      </c>
      <c r="B57" s="921">
        <v>45778</v>
      </c>
      <c r="C57" s="931" t="e">
        <f t="shared" si="3"/>
        <v>#VALUE!</v>
      </c>
      <c r="D57" s="932" t="e">
        <f t="shared" si="4"/>
        <v>#VALUE!</v>
      </c>
      <c r="E57" s="932" t="e">
        <f t="shared" si="5"/>
        <v>#VALUE!</v>
      </c>
      <c r="F57" s="933" t="e">
        <f t="shared" si="6"/>
        <v>#VALUE!</v>
      </c>
      <c r="G57" s="1036"/>
      <c r="H57" s="835"/>
      <c r="I57" s="920">
        <v>48</v>
      </c>
      <c r="J57" s="921">
        <v>45778</v>
      </c>
      <c r="K57" s="931" t="e">
        <f t="shared" si="7"/>
        <v>#VALUE!</v>
      </c>
      <c r="L57" s="932" t="e">
        <f t="shared" si="8"/>
        <v>#VALUE!</v>
      </c>
      <c r="M57" s="932" t="e">
        <f t="shared" si="9"/>
        <v>#VALUE!</v>
      </c>
      <c r="N57" s="933" t="e">
        <f t="shared" si="10"/>
        <v>#VALUE!</v>
      </c>
      <c r="O57" s="1036"/>
    </row>
    <row r="58" spans="1:15" x14ac:dyDescent="0.2">
      <c r="A58" s="934">
        <v>49</v>
      </c>
      <c r="B58" s="935">
        <v>45809</v>
      </c>
      <c r="C58" s="936" t="e">
        <f t="shared" si="3"/>
        <v>#VALUE!</v>
      </c>
      <c r="D58" s="937" t="e">
        <f t="shared" si="4"/>
        <v>#VALUE!</v>
      </c>
      <c r="E58" s="937" t="e">
        <f t="shared" si="5"/>
        <v>#VALUE!</v>
      </c>
      <c r="F58" s="938" t="e">
        <f t="shared" si="6"/>
        <v>#VALUE!</v>
      </c>
      <c r="G58" s="1038" t="e">
        <f>$G$8*AVERAGE(C58:C69)</f>
        <v>#VALUE!</v>
      </c>
      <c r="H58" s="835"/>
      <c r="I58" s="934">
        <v>49</v>
      </c>
      <c r="J58" s="935">
        <v>45809</v>
      </c>
      <c r="K58" s="936" t="e">
        <f t="shared" si="7"/>
        <v>#VALUE!</v>
      </c>
      <c r="L58" s="937" t="e">
        <f t="shared" si="8"/>
        <v>#VALUE!</v>
      </c>
      <c r="M58" s="937" t="e">
        <f t="shared" si="9"/>
        <v>#VALUE!</v>
      </c>
      <c r="N58" s="938" t="e">
        <f t="shared" si="10"/>
        <v>#VALUE!</v>
      </c>
      <c r="O58" s="1038" t="e">
        <f>$G$8*AVERAGE(K58:K69)</f>
        <v>#VALUE!</v>
      </c>
    </row>
    <row r="59" spans="1:15" x14ac:dyDescent="0.2">
      <c r="A59" s="920">
        <v>50</v>
      </c>
      <c r="B59" s="921">
        <v>45839</v>
      </c>
      <c r="C59" s="916" t="e">
        <f t="shared" si="3"/>
        <v>#VALUE!</v>
      </c>
      <c r="D59" s="917" t="e">
        <f t="shared" si="4"/>
        <v>#VALUE!</v>
      </c>
      <c r="E59" s="917" t="e">
        <f t="shared" si="5"/>
        <v>#VALUE!</v>
      </c>
      <c r="F59" s="918" t="e">
        <f t="shared" si="6"/>
        <v>#VALUE!</v>
      </c>
      <c r="G59" s="919"/>
      <c r="H59" s="835"/>
      <c r="I59" s="920">
        <v>50</v>
      </c>
      <c r="J59" s="921">
        <v>45839</v>
      </c>
      <c r="K59" s="916" t="e">
        <f t="shared" si="7"/>
        <v>#VALUE!</v>
      </c>
      <c r="L59" s="917" t="e">
        <f t="shared" si="8"/>
        <v>#VALUE!</v>
      </c>
      <c r="M59" s="917" t="e">
        <f t="shared" si="9"/>
        <v>#VALUE!</v>
      </c>
      <c r="N59" s="918" t="e">
        <f t="shared" si="10"/>
        <v>#VALUE!</v>
      </c>
      <c r="O59" s="919"/>
    </row>
    <row r="60" spans="1:15" x14ac:dyDescent="0.2">
      <c r="A60" s="920">
        <v>51</v>
      </c>
      <c r="B60" s="921">
        <v>45870</v>
      </c>
      <c r="C60" s="916" t="e">
        <f t="shared" si="3"/>
        <v>#VALUE!</v>
      </c>
      <c r="D60" s="917" t="e">
        <f t="shared" si="4"/>
        <v>#VALUE!</v>
      </c>
      <c r="E60" s="917" t="e">
        <f t="shared" si="5"/>
        <v>#VALUE!</v>
      </c>
      <c r="F60" s="918" t="e">
        <f t="shared" si="6"/>
        <v>#VALUE!</v>
      </c>
      <c r="G60" s="919"/>
      <c r="H60" s="835"/>
      <c r="I60" s="920">
        <v>51</v>
      </c>
      <c r="J60" s="921">
        <v>45870</v>
      </c>
      <c r="K60" s="916" t="e">
        <f t="shared" si="7"/>
        <v>#VALUE!</v>
      </c>
      <c r="L60" s="917" t="e">
        <f t="shared" si="8"/>
        <v>#VALUE!</v>
      </c>
      <c r="M60" s="917" t="e">
        <f t="shared" si="9"/>
        <v>#VALUE!</v>
      </c>
      <c r="N60" s="918" t="e">
        <f t="shared" si="10"/>
        <v>#VALUE!</v>
      </c>
      <c r="O60" s="919"/>
    </row>
    <row r="61" spans="1:15" x14ac:dyDescent="0.2">
      <c r="A61" s="920">
        <v>52</v>
      </c>
      <c r="B61" s="921">
        <v>45901</v>
      </c>
      <c r="C61" s="916" t="e">
        <f t="shared" si="3"/>
        <v>#VALUE!</v>
      </c>
      <c r="D61" s="917" t="e">
        <f t="shared" si="4"/>
        <v>#VALUE!</v>
      </c>
      <c r="E61" s="917" t="e">
        <f t="shared" si="5"/>
        <v>#VALUE!</v>
      </c>
      <c r="F61" s="918" t="e">
        <f t="shared" si="6"/>
        <v>#VALUE!</v>
      </c>
      <c r="G61" s="919"/>
      <c r="H61" s="835"/>
      <c r="I61" s="920">
        <v>52</v>
      </c>
      <c r="J61" s="921">
        <v>45901</v>
      </c>
      <c r="K61" s="916" t="e">
        <f t="shared" si="7"/>
        <v>#VALUE!</v>
      </c>
      <c r="L61" s="917" t="e">
        <f t="shared" si="8"/>
        <v>#VALUE!</v>
      </c>
      <c r="M61" s="917" t="e">
        <f t="shared" si="9"/>
        <v>#VALUE!</v>
      </c>
      <c r="N61" s="918" t="e">
        <f t="shared" si="10"/>
        <v>#VALUE!</v>
      </c>
      <c r="O61" s="919"/>
    </row>
    <row r="62" spans="1:15" x14ac:dyDescent="0.2">
      <c r="A62" s="920">
        <v>53</v>
      </c>
      <c r="B62" s="921">
        <v>45931</v>
      </c>
      <c r="C62" s="916" t="e">
        <f t="shared" si="3"/>
        <v>#VALUE!</v>
      </c>
      <c r="D62" s="917" t="e">
        <f t="shared" si="4"/>
        <v>#VALUE!</v>
      </c>
      <c r="E62" s="917" t="e">
        <f t="shared" si="5"/>
        <v>#VALUE!</v>
      </c>
      <c r="F62" s="918" t="e">
        <f t="shared" si="6"/>
        <v>#VALUE!</v>
      </c>
      <c r="G62" s="919"/>
      <c r="H62" s="835"/>
      <c r="I62" s="920">
        <v>53</v>
      </c>
      <c r="J62" s="921">
        <v>45931</v>
      </c>
      <c r="K62" s="916" t="e">
        <f t="shared" si="7"/>
        <v>#VALUE!</v>
      </c>
      <c r="L62" s="917" t="e">
        <f t="shared" si="8"/>
        <v>#VALUE!</v>
      </c>
      <c r="M62" s="917" t="e">
        <f t="shared" si="9"/>
        <v>#VALUE!</v>
      </c>
      <c r="N62" s="918" t="e">
        <f t="shared" si="10"/>
        <v>#VALUE!</v>
      </c>
      <c r="O62" s="919"/>
    </row>
    <row r="63" spans="1:15" x14ac:dyDescent="0.2">
      <c r="A63" s="920">
        <v>54</v>
      </c>
      <c r="B63" s="921">
        <v>45962</v>
      </c>
      <c r="C63" s="916" t="e">
        <f t="shared" si="3"/>
        <v>#VALUE!</v>
      </c>
      <c r="D63" s="917" t="e">
        <f t="shared" si="4"/>
        <v>#VALUE!</v>
      </c>
      <c r="E63" s="917" t="e">
        <f t="shared" si="5"/>
        <v>#VALUE!</v>
      </c>
      <c r="F63" s="918" t="e">
        <f t="shared" si="6"/>
        <v>#VALUE!</v>
      </c>
      <c r="G63" s="919"/>
      <c r="H63" s="835"/>
      <c r="I63" s="920">
        <v>54</v>
      </c>
      <c r="J63" s="921">
        <v>45962</v>
      </c>
      <c r="K63" s="916" t="e">
        <f t="shared" si="7"/>
        <v>#VALUE!</v>
      </c>
      <c r="L63" s="917" t="e">
        <f t="shared" si="8"/>
        <v>#VALUE!</v>
      </c>
      <c r="M63" s="917" t="e">
        <f t="shared" si="9"/>
        <v>#VALUE!</v>
      </c>
      <c r="N63" s="918" t="e">
        <f t="shared" si="10"/>
        <v>#VALUE!</v>
      </c>
      <c r="O63" s="919"/>
    </row>
    <row r="64" spans="1:15" x14ac:dyDescent="0.2">
      <c r="A64" s="920">
        <v>55</v>
      </c>
      <c r="B64" s="921">
        <v>45992</v>
      </c>
      <c r="C64" s="916" t="e">
        <f t="shared" si="3"/>
        <v>#VALUE!</v>
      </c>
      <c r="D64" s="917" t="e">
        <f t="shared" si="4"/>
        <v>#VALUE!</v>
      </c>
      <c r="E64" s="917" t="e">
        <f t="shared" si="5"/>
        <v>#VALUE!</v>
      </c>
      <c r="F64" s="918" t="e">
        <f t="shared" si="6"/>
        <v>#VALUE!</v>
      </c>
      <c r="G64" s="919"/>
      <c r="H64" s="835"/>
      <c r="I64" s="920">
        <v>55</v>
      </c>
      <c r="J64" s="921">
        <v>45992</v>
      </c>
      <c r="K64" s="916" t="e">
        <f t="shared" si="7"/>
        <v>#VALUE!</v>
      </c>
      <c r="L64" s="917" t="e">
        <f t="shared" si="8"/>
        <v>#VALUE!</v>
      </c>
      <c r="M64" s="917" t="e">
        <f t="shared" si="9"/>
        <v>#VALUE!</v>
      </c>
      <c r="N64" s="918" t="e">
        <f t="shared" si="10"/>
        <v>#VALUE!</v>
      </c>
      <c r="O64" s="919"/>
    </row>
    <row r="65" spans="1:15" x14ac:dyDescent="0.2">
      <c r="A65" s="920">
        <v>56</v>
      </c>
      <c r="B65" s="921">
        <v>46023</v>
      </c>
      <c r="C65" s="916" t="e">
        <f t="shared" si="3"/>
        <v>#VALUE!</v>
      </c>
      <c r="D65" s="917" t="e">
        <f t="shared" si="4"/>
        <v>#VALUE!</v>
      </c>
      <c r="E65" s="917" t="e">
        <f t="shared" si="5"/>
        <v>#VALUE!</v>
      </c>
      <c r="F65" s="918" t="e">
        <f t="shared" si="6"/>
        <v>#VALUE!</v>
      </c>
      <c r="G65" s="919"/>
      <c r="H65" s="835"/>
      <c r="I65" s="920">
        <v>56</v>
      </c>
      <c r="J65" s="921">
        <v>46023</v>
      </c>
      <c r="K65" s="916" t="e">
        <f t="shared" si="7"/>
        <v>#VALUE!</v>
      </c>
      <c r="L65" s="917" t="e">
        <f t="shared" si="8"/>
        <v>#VALUE!</v>
      </c>
      <c r="M65" s="917" t="e">
        <f t="shared" si="9"/>
        <v>#VALUE!</v>
      </c>
      <c r="N65" s="918" t="e">
        <f t="shared" si="10"/>
        <v>#VALUE!</v>
      </c>
      <c r="O65" s="919"/>
    </row>
    <row r="66" spans="1:15" x14ac:dyDescent="0.2">
      <c r="A66" s="920">
        <v>57</v>
      </c>
      <c r="B66" s="921">
        <v>46054</v>
      </c>
      <c r="C66" s="916" t="e">
        <f t="shared" si="3"/>
        <v>#VALUE!</v>
      </c>
      <c r="D66" s="917" t="e">
        <f t="shared" si="4"/>
        <v>#VALUE!</v>
      </c>
      <c r="E66" s="917" t="e">
        <f t="shared" si="5"/>
        <v>#VALUE!</v>
      </c>
      <c r="F66" s="918" t="e">
        <f t="shared" si="6"/>
        <v>#VALUE!</v>
      </c>
      <c r="G66" s="919"/>
      <c r="H66" s="835"/>
      <c r="I66" s="920">
        <v>57</v>
      </c>
      <c r="J66" s="921">
        <v>46054</v>
      </c>
      <c r="K66" s="916" t="e">
        <f t="shared" si="7"/>
        <v>#VALUE!</v>
      </c>
      <c r="L66" s="917" t="e">
        <f t="shared" si="8"/>
        <v>#VALUE!</v>
      </c>
      <c r="M66" s="917" t="e">
        <f t="shared" si="9"/>
        <v>#VALUE!</v>
      </c>
      <c r="N66" s="918" t="e">
        <f t="shared" si="10"/>
        <v>#VALUE!</v>
      </c>
      <c r="O66" s="919"/>
    </row>
    <row r="67" spans="1:15" x14ac:dyDescent="0.2">
      <c r="A67" s="920">
        <v>58</v>
      </c>
      <c r="B67" s="921">
        <v>46082</v>
      </c>
      <c r="C67" s="916" t="e">
        <f t="shared" si="3"/>
        <v>#VALUE!</v>
      </c>
      <c r="D67" s="917" t="e">
        <f t="shared" si="4"/>
        <v>#VALUE!</v>
      </c>
      <c r="E67" s="917" t="e">
        <f t="shared" si="5"/>
        <v>#VALUE!</v>
      </c>
      <c r="F67" s="918" t="e">
        <f t="shared" si="6"/>
        <v>#VALUE!</v>
      </c>
      <c r="G67" s="919"/>
      <c r="H67" s="835"/>
      <c r="I67" s="920">
        <v>58</v>
      </c>
      <c r="J67" s="921">
        <v>46082</v>
      </c>
      <c r="K67" s="916" t="e">
        <f t="shared" si="7"/>
        <v>#VALUE!</v>
      </c>
      <c r="L67" s="917" t="e">
        <f t="shared" si="8"/>
        <v>#VALUE!</v>
      </c>
      <c r="M67" s="917" t="e">
        <f t="shared" si="9"/>
        <v>#VALUE!</v>
      </c>
      <c r="N67" s="918" t="e">
        <f t="shared" si="10"/>
        <v>#VALUE!</v>
      </c>
      <c r="O67" s="919"/>
    </row>
    <row r="68" spans="1:15" x14ac:dyDescent="0.2">
      <c r="A68" s="920">
        <v>59</v>
      </c>
      <c r="B68" s="921">
        <v>46113</v>
      </c>
      <c r="C68" s="916" t="e">
        <f t="shared" si="3"/>
        <v>#VALUE!</v>
      </c>
      <c r="D68" s="917" t="e">
        <f t="shared" si="4"/>
        <v>#VALUE!</v>
      </c>
      <c r="E68" s="917" t="e">
        <f t="shared" si="5"/>
        <v>#VALUE!</v>
      </c>
      <c r="F68" s="918" t="e">
        <f t="shared" si="6"/>
        <v>#VALUE!</v>
      </c>
      <c r="G68" s="919"/>
      <c r="H68" s="835"/>
      <c r="I68" s="920">
        <v>59</v>
      </c>
      <c r="J68" s="921">
        <v>46113</v>
      </c>
      <c r="K68" s="916" t="e">
        <f t="shared" si="7"/>
        <v>#VALUE!</v>
      </c>
      <c r="L68" s="917" t="e">
        <f t="shared" si="8"/>
        <v>#VALUE!</v>
      </c>
      <c r="M68" s="917" t="e">
        <f t="shared" si="9"/>
        <v>#VALUE!</v>
      </c>
      <c r="N68" s="918" t="e">
        <f t="shared" si="10"/>
        <v>#VALUE!</v>
      </c>
      <c r="O68" s="919"/>
    </row>
    <row r="69" spans="1:15" ht="15" thickBot="1" x14ac:dyDescent="0.25">
      <c r="A69" s="922">
        <v>60</v>
      </c>
      <c r="B69" s="923">
        <v>46143</v>
      </c>
      <c r="C69" s="924" t="e">
        <f t="shared" si="3"/>
        <v>#VALUE!</v>
      </c>
      <c r="D69" s="925" t="e">
        <f t="shared" si="4"/>
        <v>#VALUE!</v>
      </c>
      <c r="E69" s="925" t="e">
        <f t="shared" si="5"/>
        <v>#VALUE!</v>
      </c>
      <c r="F69" s="926" t="e">
        <f t="shared" si="6"/>
        <v>#VALUE!</v>
      </c>
      <c r="G69" s="927"/>
      <c r="H69" s="835"/>
      <c r="I69" s="922">
        <v>60</v>
      </c>
      <c r="J69" s="923">
        <v>46143</v>
      </c>
      <c r="K69" s="924" t="e">
        <f t="shared" si="7"/>
        <v>#VALUE!</v>
      </c>
      <c r="L69" s="925" t="e">
        <f t="shared" si="8"/>
        <v>#VALUE!</v>
      </c>
      <c r="M69" s="925" t="e">
        <f t="shared" si="9"/>
        <v>#VALUE!</v>
      </c>
      <c r="N69" s="926" t="e">
        <f t="shared" si="10"/>
        <v>#VALUE!</v>
      </c>
      <c r="O69" s="927"/>
    </row>
    <row r="70" spans="1:15" x14ac:dyDescent="0.2">
      <c r="A70" s="920">
        <v>61</v>
      </c>
      <c r="B70" s="921">
        <v>46174</v>
      </c>
      <c r="C70" s="928" t="e">
        <f t="shared" si="3"/>
        <v>#VALUE!</v>
      </c>
      <c r="D70" s="929" t="e">
        <f t="shared" si="4"/>
        <v>#VALUE!</v>
      </c>
      <c r="E70" s="929" t="e">
        <f t="shared" si="5"/>
        <v>#VALUE!</v>
      </c>
      <c r="F70" s="930" t="e">
        <f t="shared" si="6"/>
        <v>#VALUE!</v>
      </c>
      <c r="G70" s="1038" t="e">
        <f>$G$8*AVERAGE(C70:C81)</f>
        <v>#VALUE!</v>
      </c>
      <c r="H70" s="835"/>
      <c r="I70" s="920">
        <v>61</v>
      </c>
      <c r="J70" s="921">
        <v>46174</v>
      </c>
      <c r="K70" s="928" t="e">
        <f t="shared" si="7"/>
        <v>#VALUE!</v>
      </c>
      <c r="L70" s="929" t="e">
        <f t="shared" si="8"/>
        <v>#VALUE!</v>
      </c>
      <c r="M70" s="929" t="e">
        <f t="shared" si="9"/>
        <v>#VALUE!</v>
      </c>
      <c r="N70" s="930" t="e">
        <f t="shared" si="10"/>
        <v>#VALUE!</v>
      </c>
      <c r="O70" s="1038" t="e">
        <f>$G$8*AVERAGE(K70:K81)</f>
        <v>#VALUE!</v>
      </c>
    </row>
    <row r="71" spans="1:15" x14ac:dyDescent="0.2">
      <c r="A71" s="920">
        <v>62</v>
      </c>
      <c r="B71" s="921">
        <v>46204</v>
      </c>
      <c r="C71" s="916" t="e">
        <f t="shared" si="3"/>
        <v>#VALUE!</v>
      </c>
      <c r="D71" s="917" t="e">
        <f t="shared" si="4"/>
        <v>#VALUE!</v>
      </c>
      <c r="E71" s="917" t="e">
        <f t="shared" si="5"/>
        <v>#VALUE!</v>
      </c>
      <c r="F71" s="918" t="e">
        <f t="shared" si="6"/>
        <v>#VALUE!</v>
      </c>
      <c r="G71" s="919"/>
      <c r="H71" s="835"/>
      <c r="I71" s="920">
        <v>62</v>
      </c>
      <c r="J71" s="921">
        <v>46204</v>
      </c>
      <c r="K71" s="916" t="e">
        <f t="shared" si="7"/>
        <v>#VALUE!</v>
      </c>
      <c r="L71" s="917" t="e">
        <f t="shared" si="8"/>
        <v>#VALUE!</v>
      </c>
      <c r="M71" s="917" t="e">
        <f t="shared" si="9"/>
        <v>#VALUE!</v>
      </c>
      <c r="N71" s="918" t="e">
        <f t="shared" si="10"/>
        <v>#VALUE!</v>
      </c>
      <c r="O71" s="919"/>
    </row>
    <row r="72" spans="1:15" x14ac:dyDescent="0.2">
      <c r="A72" s="920">
        <v>63</v>
      </c>
      <c r="B72" s="921">
        <v>46235</v>
      </c>
      <c r="C72" s="916" t="e">
        <f t="shared" si="3"/>
        <v>#VALUE!</v>
      </c>
      <c r="D72" s="917" t="e">
        <f t="shared" si="4"/>
        <v>#VALUE!</v>
      </c>
      <c r="E72" s="917" t="e">
        <f t="shared" si="5"/>
        <v>#VALUE!</v>
      </c>
      <c r="F72" s="918" t="e">
        <f t="shared" si="6"/>
        <v>#VALUE!</v>
      </c>
      <c r="G72" s="919"/>
      <c r="H72" s="835"/>
      <c r="I72" s="920">
        <v>63</v>
      </c>
      <c r="J72" s="921">
        <v>46235</v>
      </c>
      <c r="K72" s="916" t="e">
        <f t="shared" si="7"/>
        <v>#VALUE!</v>
      </c>
      <c r="L72" s="917" t="e">
        <f t="shared" si="8"/>
        <v>#VALUE!</v>
      </c>
      <c r="M72" s="917" t="e">
        <f t="shared" si="9"/>
        <v>#VALUE!</v>
      </c>
      <c r="N72" s="918" t="e">
        <f t="shared" si="10"/>
        <v>#VALUE!</v>
      </c>
      <c r="O72" s="919"/>
    </row>
    <row r="73" spans="1:15" x14ac:dyDescent="0.2">
      <c r="A73" s="920">
        <v>64</v>
      </c>
      <c r="B73" s="921">
        <v>46266</v>
      </c>
      <c r="C73" s="916" t="e">
        <f t="shared" si="3"/>
        <v>#VALUE!</v>
      </c>
      <c r="D73" s="917" t="e">
        <f t="shared" si="4"/>
        <v>#VALUE!</v>
      </c>
      <c r="E73" s="917" t="e">
        <f t="shared" si="5"/>
        <v>#VALUE!</v>
      </c>
      <c r="F73" s="918" t="e">
        <f t="shared" si="6"/>
        <v>#VALUE!</v>
      </c>
      <c r="G73" s="919"/>
      <c r="H73" s="835"/>
      <c r="I73" s="920">
        <v>64</v>
      </c>
      <c r="J73" s="921">
        <v>46266</v>
      </c>
      <c r="K73" s="916" t="e">
        <f t="shared" si="7"/>
        <v>#VALUE!</v>
      </c>
      <c r="L73" s="917" t="e">
        <f t="shared" si="8"/>
        <v>#VALUE!</v>
      </c>
      <c r="M73" s="917" t="e">
        <f t="shared" si="9"/>
        <v>#VALUE!</v>
      </c>
      <c r="N73" s="918" t="e">
        <f t="shared" si="10"/>
        <v>#VALUE!</v>
      </c>
      <c r="O73" s="919"/>
    </row>
    <row r="74" spans="1:15" x14ac:dyDescent="0.2">
      <c r="A74" s="920">
        <v>65</v>
      </c>
      <c r="B74" s="921">
        <v>46296</v>
      </c>
      <c r="C74" s="916" t="e">
        <f t="shared" si="3"/>
        <v>#VALUE!</v>
      </c>
      <c r="D74" s="917" t="e">
        <f t="shared" si="4"/>
        <v>#VALUE!</v>
      </c>
      <c r="E74" s="917" t="e">
        <f t="shared" si="5"/>
        <v>#VALUE!</v>
      </c>
      <c r="F74" s="918" t="e">
        <f t="shared" si="6"/>
        <v>#VALUE!</v>
      </c>
      <c r="G74" s="919"/>
      <c r="H74" s="835"/>
      <c r="I74" s="920">
        <v>65</v>
      </c>
      <c r="J74" s="921">
        <v>46296</v>
      </c>
      <c r="K74" s="916" t="e">
        <f t="shared" si="7"/>
        <v>#VALUE!</v>
      </c>
      <c r="L74" s="917" t="e">
        <f t="shared" si="8"/>
        <v>#VALUE!</v>
      </c>
      <c r="M74" s="917" t="e">
        <f t="shared" si="9"/>
        <v>#VALUE!</v>
      </c>
      <c r="N74" s="918" t="e">
        <f t="shared" si="10"/>
        <v>#VALUE!</v>
      </c>
      <c r="O74" s="919"/>
    </row>
    <row r="75" spans="1:15" x14ac:dyDescent="0.2">
      <c r="A75" s="920">
        <v>66</v>
      </c>
      <c r="B75" s="921">
        <v>46327</v>
      </c>
      <c r="C75" s="916" t="e">
        <f t="shared" ref="C75:C138" si="11">C74-D75</f>
        <v>#VALUE!</v>
      </c>
      <c r="D75" s="917" t="e">
        <f t="shared" ref="D75:D138" si="12">-PPMT($C$4/12,A75,$F$4*$F$6,$C$3)</f>
        <v>#VALUE!</v>
      </c>
      <c r="E75" s="917" t="e">
        <f t="shared" ref="E75:E138" si="13">F75-D75</f>
        <v>#VALUE!</v>
      </c>
      <c r="F75" s="918" t="e">
        <f t="shared" ref="F75:F138" si="14">$F$3</f>
        <v>#VALUE!</v>
      </c>
      <c r="G75" s="919"/>
      <c r="H75" s="835"/>
      <c r="I75" s="920">
        <v>66</v>
      </c>
      <c r="J75" s="921">
        <v>46327</v>
      </c>
      <c r="K75" s="916" t="e">
        <f t="shared" ref="K75:K138" si="15">K74-L75</f>
        <v>#VALUE!</v>
      </c>
      <c r="L75" s="917" t="e">
        <f t="shared" ref="L75:L138" si="16">-PPMT($K$4/12,I75,$N$4*$N$6,$K$3)</f>
        <v>#VALUE!</v>
      </c>
      <c r="M75" s="917" t="e">
        <f t="shared" ref="M75:M138" si="17">N75-L75</f>
        <v>#VALUE!</v>
      </c>
      <c r="N75" s="918" t="e">
        <f t="shared" ref="N75:N138" si="18">$N$3</f>
        <v>#VALUE!</v>
      </c>
      <c r="O75" s="919"/>
    </row>
    <row r="76" spans="1:15" x14ac:dyDescent="0.2">
      <c r="A76" s="920">
        <v>67</v>
      </c>
      <c r="B76" s="921">
        <v>46357</v>
      </c>
      <c r="C76" s="916" t="e">
        <f t="shared" si="11"/>
        <v>#VALUE!</v>
      </c>
      <c r="D76" s="917" t="e">
        <f t="shared" si="12"/>
        <v>#VALUE!</v>
      </c>
      <c r="E76" s="917" t="e">
        <f t="shared" si="13"/>
        <v>#VALUE!</v>
      </c>
      <c r="F76" s="918" t="e">
        <f t="shared" si="14"/>
        <v>#VALUE!</v>
      </c>
      <c r="G76" s="919"/>
      <c r="H76" s="835"/>
      <c r="I76" s="920">
        <v>67</v>
      </c>
      <c r="J76" s="921">
        <v>46357</v>
      </c>
      <c r="K76" s="916" t="e">
        <f t="shared" si="15"/>
        <v>#VALUE!</v>
      </c>
      <c r="L76" s="917" t="e">
        <f t="shared" si="16"/>
        <v>#VALUE!</v>
      </c>
      <c r="M76" s="917" t="e">
        <f t="shared" si="17"/>
        <v>#VALUE!</v>
      </c>
      <c r="N76" s="918" t="e">
        <f t="shared" si="18"/>
        <v>#VALUE!</v>
      </c>
      <c r="O76" s="919"/>
    </row>
    <row r="77" spans="1:15" x14ac:dyDescent="0.2">
      <c r="A77" s="920">
        <v>68</v>
      </c>
      <c r="B77" s="921">
        <v>46388</v>
      </c>
      <c r="C77" s="916" t="e">
        <f t="shared" si="11"/>
        <v>#VALUE!</v>
      </c>
      <c r="D77" s="917" t="e">
        <f t="shared" si="12"/>
        <v>#VALUE!</v>
      </c>
      <c r="E77" s="917" t="e">
        <f t="shared" si="13"/>
        <v>#VALUE!</v>
      </c>
      <c r="F77" s="918" t="e">
        <f t="shared" si="14"/>
        <v>#VALUE!</v>
      </c>
      <c r="G77" s="919"/>
      <c r="H77" s="835"/>
      <c r="I77" s="920">
        <v>68</v>
      </c>
      <c r="J77" s="921">
        <v>46388</v>
      </c>
      <c r="K77" s="916" t="e">
        <f t="shared" si="15"/>
        <v>#VALUE!</v>
      </c>
      <c r="L77" s="917" t="e">
        <f t="shared" si="16"/>
        <v>#VALUE!</v>
      </c>
      <c r="M77" s="917" t="e">
        <f t="shared" si="17"/>
        <v>#VALUE!</v>
      </c>
      <c r="N77" s="918" t="e">
        <f t="shared" si="18"/>
        <v>#VALUE!</v>
      </c>
      <c r="O77" s="919"/>
    </row>
    <row r="78" spans="1:15" x14ac:dyDescent="0.2">
      <c r="A78" s="920">
        <v>69</v>
      </c>
      <c r="B78" s="921">
        <v>46419</v>
      </c>
      <c r="C78" s="916" t="e">
        <f t="shared" si="11"/>
        <v>#VALUE!</v>
      </c>
      <c r="D78" s="917" t="e">
        <f t="shared" si="12"/>
        <v>#VALUE!</v>
      </c>
      <c r="E78" s="917" t="e">
        <f t="shared" si="13"/>
        <v>#VALUE!</v>
      </c>
      <c r="F78" s="918" t="e">
        <f t="shared" si="14"/>
        <v>#VALUE!</v>
      </c>
      <c r="G78" s="919"/>
      <c r="H78" s="835"/>
      <c r="I78" s="920">
        <v>69</v>
      </c>
      <c r="J78" s="921">
        <v>46419</v>
      </c>
      <c r="K78" s="916" t="e">
        <f t="shared" si="15"/>
        <v>#VALUE!</v>
      </c>
      <c r="L78" s="917" t="e">
        <f t="shared" si="16"/>
        <v>#VALUE!</v>
      </c>
      <c r="M78" s="917" t="e">
        <f t="shared" si="17"/>
        <v>#VALUE!</v>
      </c>
      <c r="N78" s="918" t="e">
        <f t="shared" si="18"/>
        <v>#VALUE!</v>
      </c>
      <c r="O78" s="919"/>
    </row>
    <row r="79" spans="1:15" x14ac:dyDescent="0.2">
      <c r="A79" s="920">
        <v>70</v>
      </c>
      <c r="B79" s="921">
        <v>46447</v>
      </c>
      <c r="C79" s="916" t="e">
        <f t="shared" si="11"/>
        <v>#VALUE!</v>
      </c>
      <c r="D79" s="917" t="e">
        <f t="shared" si="12"/>
        <v>#VALUE!</v>
      </c>
      <c r="E79" s="917" t="e">
        <f t="shared" si="13"/>
        <v>#VALUE!</v>
      </c>
      <c r="F79" s="918" t="e">
        <f t="shared" si="14"/>
        <v>#VALUE!</v>
      </c>
      <c r="G79" s="919"/>
      <c r="H79" s="835"/>
      <c r="I79" s="920">
        <v>70</v>
      </c>
      <c r="J79" s="921">
        <v>46447</v>
      </c>
      <c r="K79" s="916" t="e">
        <f t="shared" si="15"/>
        <v>#VALUE!</v>
      </c>
      <c r="L79" s="917" t="e">
        <f t="shared" si="16"/>
        <v>#VALUE!</v>
      </c>
      <c r="M79" s="917" t="e">
        <f t="shared" si="17"/>
        <v>#VALUE!</v>
      </c>
      <c r="N79" s="918" t="e">
        <f t="shared" si="18"/>
        <v>#VALUE!</v>
      </c>
      <c r="O79" s="919"/>
    </row>
    <row r="80" spans="1:15" x14ac:dyDescent="0.2">
      <c r="A80" s="920">
        <v>71</v>
      </c>
      <c r="B80" s="921">
        <v>46478</v>
      </c>
      <c r="C80" s="916" t="e">
        <f t="shared" si="11"/>
        <v>#VALUE!</v>
      </c>
      <c r="D80" s="917" t="e">
        <f t="shared" si="12"/>
        <v>#VALUE!</v>
      </c>
      <c r="E80" s="917" t="e">
        <f t="shared" si="13"/>
        <v>#VALUE!</v>
      </c>
      <c r="F80" s="918" t="e">
        <f t="shared" si="14"/>
        <v>#VALUE!</v>
      </c>
      <c r="G80" s="919"/>
      <c r="H80" s="835"/>
      <c r="I80" s="920">
        <v>71</v>
      </c>
      <c r="J80" s="921">
        <v>46478</v>
      </c>
      <c r="K80" s="916" t="e">
        <f t="shared" si="15"/>
        <v>#VALUE!</v>
      </c>
      <c r="L80" s="917" t="e">
        <f t="shared" si="16"/>
        <v>#VALUE!</v>
      </c>
      <c r="M80" s="917" t="e">
        <f t="shared" si="17"/>
        <v>#VALUE!</v>
      </c>
      <c r="N80" s="918" t="e">
        <f t="shared" si="18"/>
        <v>#VALUE!</v>
      </c>
      <c r="O80" s="919"/>
    </row>
    <row r="81" spans="1:15" ht="15" thickBot="1" x14ac:dyDescent="0.25">
      <c r="A81" s="920">
        <v>72</v>
      </c>
      <c r="B81" s="921">
        <v>46508</v>
      </c>
      <c r="C81" s="931" t="e">
        <f t="shared" si="11"/>
        <v>#VALUE!</v>
      </c>
      <c r="D81" s="932" t="e">
        <f t="shared" si="12"/>
        <v>#VALUE!</v>
      </c>
      <c r="E81" s="932" t="e">
        <f t="shared" si="13"/>
        <v>#VALUE!</v>
      </c>
      <c r="F81" s="933" t="e">
        <f t="shared" si="14"/>
        <v>#VALUE!</v>
      </c>
      <c r="G81" s="1036"/>
      <c r="H81" s="835"/>
      <c r="I81" s="920">
        <v>72</v>
      </c>
      <c r="J81" s="921">
        <v>46508</v>
      </c>
      <c r="K81" s="931" t="e">
        <f t="shared" si="15"/>
        <v>#VALUE!</v>
      </c>
      <c r="L81" s="932" t="e">
        <f t="shared" si="16"/>
        <v>#VALUE!</v>
      </c>
      <c r="M81" s="932" t="e">
        <f t="shared" si="17"/>
        <v>#VALUE!</v>
      </c>
      <c r="N81" s="933" t="e">
        <f t="shared" si="18"/>
        <v>#VALUE!</v>
      </c>
      <c r="O81" s="1036"/>
    </row>
    <row r="82" spans="1:15" x14ac:dyDescent="0.2">
      <c r="A82" s="934">
        <v>73</v>
      </c>
      <c r="B82" s="935">
        <v>46539</v>
      </c>
      <c r="C82" s="936" t="e">
        <f t="shared" si="11"/>
        <v>#VALUE!</v>
      </c>
      <c r="D82" s="937" t="e">
        <f t="shared" si="12"/>
        <v>#VALUE!</v>
      </c>
      <c r="E82" s="937" t="e">
        <f t="shared" si="13"/>
        <v>#VALUE!</v>
      </c>
      <c r="F82" s="938" t="e">
        <f t="shared" si="14"/>
        <v>#VALUE!</v>
      </c>
      <c r="G82" s="1038" t="e">
        <f>$G$8*AVERAGE(C82:C93)</f>
        <v>#VALUE!</v>
      </c>
      <c r="H82" s="835"/>
      <c r="I82" s="934">
        <v>73</v>
      </c>
      <c r="J82" s="935">
        <v>46539</v>
      </c>
      <c r="K82" s="936" t="e">
        <f t="shared" si="15"/>
        <v>#VALUE!</v>
      </c>
      <c r="L82" s="937" t="e">
        <f t="shared" si="16"/>
        <v>#VALUE!</v>
      </c>
      <c r="M82" s="937" t="e">
        <f t="shared" si="17"/>
        <v>#VALUE!</v>
      </c>
      <c r="N82" s="938" t="e">
        <f t="shared" si="18"/>
        <v>#VALUE!</v>
      </c>
      <c r="O82" s="1038" t="e">
        <f>$G$8*AVERAGE(K82:K93)</f>
        <v>#VALUE!</v>
      </c>
    </row>
    <row r="83" spans="1:15" x14ac:dyDescent="0.2">
      <c r="A83" s="920">
        <v>74</v>
      </c>
      <c r="B83" s="921">
        <v>46569</v>
      </c>
      <c r="C83" s="916" t="e">
        <f t="shared" si="11"/>
        <v>#VALUE!</v>
      </c>
      <c r="D83" s="917" t="e">
        <f t="shared" si="12"/>
        <v>#VALUE!</v>
      </c>
      <c r="E83" s="917" t="e">
        <f t="shared" si="13"/>
        <v>#VALUE!</v>
      </c>
      <c r="F83" s="918" t="e">
        <f t="shared" si="14"/>
        <v>#VALUE!</v>
      </c>
      <c r="G83" s="919"/>
      <c r="H83" s="835"/>
      <c r="I83" s="920">
        <v>74</v>
      </c>
      <c r="J83" s="921">
        <v>46569</v>
      </c>
      <c r="K83" s="916" t="e">
        <f t="shared" si="15"/>
        <v>#VALUE!</v>
      </c>
      <c r="L83" s="917" t="e">
        <f t="shared" si="16"/>
        <v>#VALUE!</v>
      </c>
      <c r="M83" s="917" t="e">
        <f t="shared" si="17"/>
        <v>#VALUE!</v>
      </c>
      <c r="N83" s="918" t="e">
        <f t="shared" si="18"/>
        <v>#VALUE!</v>
      </c>
      <c r="O83" s="919"/>
    </row>
    <row r="84" spans="1:15" x14ac:dyDescent="0.2">
      <c r="A84" s="920">
        <v>75</v>
      </c>
      <c r="B84" s="921">
        <v>46600</v>
      </c>
      <c r="C84" s="916" t="e">
        <f t="shared" si="11"/>
        <v>#VALUE!</v>
      </c>
      <c r="D84" s="917" t="e">
        <f t="shared" si="12"/>
        <v>#VALUE!</v>
      </c>
      <c r="E84" s="917" t="e">
        <f t="shared" si="13"/>
        <v>#VALUE!</v>
      </c>
      <c r="F84" s="918" t="e">
        <f t="shared" si="14"/>
        <v>#VALUE!</v>
      </c>
      <c r="G84" s="919"/>
      <c r="H84" s="835"/>
      <c r="I84" s="920">
        <v>75</v>
      </c>
      <c r="J84" s="921">
        <v>46600</v>
      </c>
      <c r="K84" s="916" t="e">
        <f t="shared" si="15"/>
        <v>#VALUE!</v>
      </c>
      <c r="L84" s="917" t="e">
        <f t="shared" si="16"/>
        <v>#VALUE!</v>
      </c>
      <c r="M84" s="917" t="e">
        <f t="shared" si="17"/>
        <v>#VALUE!</v>
      </c>
      <c r="N84" s="918" t="e">
        <f t="shared" si="18"/>
        <v>#VALUE!</v>
      </c>
      <c r="O84" s="919"/>
    </row>
    <row r="85" spans="1:15" x14ac:dyDescent="0.2">
      <c r="A85" s="920">
        <v>76</v>
      </c>
      <c r="B85" s="921">
        <v>46631</v>
      </c>
      <c r="C85" s="916" t="e">
        <f t="shared" si="11"/>
        <v>#VALUE!</v>
      </c>
      <c r="D85" s="917" t="e">
        <f t="shared" si="12"/>
        <v>#VALUE!</v>
      </c>
      <c r="E85" s="917" t="e">
        <f t="shared" si="13"/>
        <v>#VALUE!</v>
      </c>
      <c r="F85" s="918" t="e">
        <f t="shared" si="14"/>
        <v>#VALUE!</v>
      </c>
      <c r="G85" s="919"/>
      <c r="H85" s="835"/>
      <c r="I85" s="920">
        <v>76</v>
      </c>
      <c r="J85" s="921">
        <v>46631</v>
      </c>
      <c r="K85" s="916" t="e">
        <f t="shared" si="15"/>
        <v>#VALUE!</v>
      </c>
      <c r="L85" s="917" t="e">
        <f t="shared" si="16"/>
        <v>#VALUE!</v>
      </c>
      <c r="M85" s="917" t="e">
        <f t="shared" si="17"/>
        <v>#VALUE!</v>
      </c>
      <c r="N85" s="918" t="e">
        <f t="shared" si="18"/>
        <v>#VALUE!</v>
      </c>
      <c r="O85" s="919"/>
    </row>
    <row r="86" spans="1:15" x14ac:dyDescent="0.2">
      <c r="A86" s="920">
        <v>77</v>
      </c>
      <c r="B86" s="921">
        <v>46661</v>
      </c>
      <c r="C86" s="916" t="e">
        <f t="shared" si="11"/>
        <v>#VALUE!</v>
      </c>
      <c r="D86" s="917" t="e">
        <f t="shared" si="12"/>
        <v>#VALUE!</v>
      </c>
      <c r="E86" s="917" t="e">
        <f t="shared" si="13"/>
        <v>#VALUE!</v>
      </c>
      <c r="F86" s="918" t="e">
        <f t="shared" si="14"/>
        <v>#VALUE!</v>
      </c>
      <c r="G86" s="919"/>
      <c r="H86" s="835"/>
      <c r="I86" s="920">
        <v>77</v>
      </c>
      <c r="J86" s="921">
        <v>46661</v>
      </c>
      <c r="K86" s="916" t="e">
        <f t="shared" si="15"/>
        <v>#VALUE!</v>
      </c>
      <c r="L86" s="917" t="e">
        <f t="shared" si="16"/>
        <v>#VALUE!</v>
      </c>
      <c r="M86" s="917" t="e">
        <f t="shared" si="17"/>
        <v>#VALUE!</v>
      </c>
      <c r="N86" s="918" t="e">
        <f t="shared" si="18"/>
        <v>#VALUE!</v>
      </c>
      <c r="O86" s="919"/>
    </row>
    <row r="87" spans="1:15" x14ac:dyDescent="0.2">
      <c r="A87" s="920">
        <v>78</v>
      </c>
      <c r="B87" s="921">
        <v>46692</v>
      </c>
      <c r="C87" s="916" t="e">
        <f t="shared" si="11"/>
        <v>#VALUE!</v>
      </c>
      <c r="D87" s="917" t="e">
        <f t="shared" si="12"/>
        <v>#VALUE!</v>
      </c>
      <c r="E87" s="917" t="e">
        <f t="shared" si="13"/>
        <v>#VALUE!</v>
      </c>
      <c r="F87" s="918" t="e">
        <f t="shared" si="14"/>
        <v>#VALUE!</v>
      </c>
      <c r="G87" s="919"/>
      <c r="H87" s="835"/>
      <c r="I87" s="920">
        <v>78</v>
      </c>
      <c r="J87" s="921">
        <v>46692</v>
      </c>
      <c r="K87" s="916" t="e">
        <f t="shared" si="15"/>
        <v>#VALUE!</v>
      </c>
      <c r="L87" s="917" t="e">
        <f t="shared" si="16"/>
        <v>#VALUE!</v>
      </c>
      <c r="M87" s="917" t="e">
        <f t="shared" si="17"/>
        <v>#VALUE!</v>
      </c>
      <c r="N87" s="918" t="e">
        <f t="shared" si="18"/>
        <v>#VALUE!</v>
      </c>
      <c r="O87" s="919"/>
    </row>
    <row r="88" spans="1:15" x14ac:dyDescent="0.2">
      <c r="A88" s="920">
        <v>79</v>
      </c>
      <c r="B88" s="921">
        <v>46722</v>
      </c>
      <c r="C88" s="916" t="e">
        <f t="shared" si="11"/>
        <v>#VALUE!</v>
      </c>
      <c r="D88" s="917" t="e">
        <f t="shared" si="12"/>
        <v>#VALUE!</v>
      </c>
      <c r="E88" s="917" t="e">
        <f t="shared" si="13"/>
        <v>#VALUE!</v>
      </c>
      <c r="F88" s="918" t="e">
        <f t="shared" si="14"/>
        <v>#VALUE!</v>
      </c>
      <c r="G88" s="919"/>
      <c r="H88" s="835"/>
      <c r="I88" s="920">
        <v>79</v>
      </c>
      <c r="J88" s="921">
        <v>46722</v>
      </c>
      <c r="K88" s="916" t="e">
        <f t="shared" si="15"/>
        <v>#VALUE!</v>
      </c>
      <c r="L88" s="917" t="e">
        <f t="shared" si="16"/>
        <v>#VALUE!</v>
      </c>
      <c r="M88" s="917" t="e">
        <f t="shared" si="17"/>
        <v>#VALUE!</v>
      </c>
      <c r="N88" s="918" t="e">
        <f t="shared" si="18"/>
        <v>#VALUE!</v>
      </c>
      <c r="O88" s="919"/>
    </row>
    <row r="89" spans="1:15" x14ac:dyDescent="0.2">
      <c r="A89" s="920">
        <v>80</v>
      </c>
      <c r="B89" s="921">
        <v>46753</v>
      </c>
      <c r="C89" s="916" t="e">
        <f t="shared" si="11"/>
        <v>#VALUE!</v>
      </c>
      <c r="D89" s="917" t="e">
        <f t="shared" si="12"/>
        <v>#VALUE!</v>
      </c>
      <c r="E89" s="917" t="e">
        <f t="shared" si="13"/>
        <v>#VALUE!</v>
      </c>
      <c r="F89" s="918" t="e">
        <f t="shared" si="14"/>
        <v>#VALUE!</v>
      </c>
      <c r="G89" s="919"/>
      <c r="H89" s="835"/>
      <c r="I89" s="920">
        <v>80</v>
      </c>
      <c r="J89" s="921">
        <v>46753</v>
      </c>
      <c r="K89" s="916" t="e">
        <f t="shared" si="15"/>
        <v>#VALUE!</v>
      </c>
      <c r="L89" s="917" t="e">
        <f t="shared" si="16"/>
        <v>#VALUE!</v>
      </c>
      <c r="M89" s="917" t="e">
        <f t="shared" si="17"/>
        <v>#VALUE!</v>
      </c>
      <c r="N89" s="918" t="e">
        <f t="shared" si="18"/>
        <v>#VALUE!</v>
      </c>
      <c r="O89" s="919"/>
    </row>
    <row r="90" spans="1:15" x14ac:dyDescent="0.2">
      <c r="A90" s="920">
        <v>81</v>
      </c>
      <c r="B90" s="921">
        <v>46784</v>
      </c>
      <c r="C90" s="916" t="e">
        <f t="shared" si="11"/>
        <v>#VALUE!</v>
      </c>
      <c r="D90" s="917" t="e">
        <f t="shared" si="12"/>
        <v>#VALUE!</v>
      </c>
      <c r="E90" s="917" t="e">
        <f t="shared" si="13"/>
        <v>#VALUE!</v>
      </c>
      <c r="F90" s="918" t="e">
        <f t="shared" si="14"/>
        <v>#VALUE!</v>
      </c>
      <c r="G90" s="919"/>
      <c r="H90" s="835"/>
      <c r="I90" s="920">
        <v>81</v>
      </c>
      <c r="J90" s="921">
        <v>46784</v>
      </c>
      <c r="K90" s="916" t="e">
        <f t="shared" si="15"/>
        <v>#VALUE!</v>
      </c>
      <c r="L90" s="917" t="e">
        <f t="shared" si="16"/>
        <v>#VALUE!</v>
      </c>
      <c r="M90" s="917" t="e">
        <f t="shared" si="17"/>
        <v>#VALUE!</v>
      </c>
      <c r="N90" s="918" t="e">
        <f t="shared" si="18"/>
        <v>#VALUE!</v>
      </c>
      <c r="O90" s="919"/>
    </row>
    <row r="91" spans="1:15" x14ac:dyDescent="0.2">
      <c r="A91" s="920">
        <v>82</v>
      </c>
      <c r="B91" s="921">
        <v>46813</v>
      </c>
      <c r="C91" s="916" t="e">
        <f t="shared" si="11"/>
        <v>#VALUE!</v>
      </c>
      <c r="D91" s="917" t="e">
        <f t="shared" si="12"/>
        <v>#VALUE!</v>
      </c>
      <c r="E91" s="917" t="e">
        <f t="shared" si="13"/>
        <v>#VALUE!</v>
      </c>
      <c r="F91" s="918" t="e">
        <f t="shared" si="14"/>
        <v>#VALUE!</v>
      </c>
      <c r="G91" s="919"/>
      <c r="H91" s="835"/>
      <c r="I91" s="920">
        <v>82</v>
      </c>
      <c r="J91" s="921">
        <v>46813</v>
      </c>
      <c r="K91" s="916" t="e">
        <f t="shared" si="15"/>
        <v>#VALUE!</v>
      </c>
      <c r="L91" s="917" t="e">
        <f t="shared" si="16"/>
        <v>#VALUE!</v>
      </c>
      <c r="M91" s="917" t="e">
        <f t="shared" si="17"/>
        <v>#VALUE!</v>
      </c>
      <c r="N91" s="918" t="e">
        <f t="shared" si="18"/>
        <v>#VALUE!</v>
      </c>
      <c r="O91" s="919"/>
    </row>
    <row r="92" spans="1:15" x14ac:dyDescent="0.2">
      <c r="A92" s="920">
        <v>83</v>
      </c>
      <c r="B92" s="921">
        <v>46844</v>
      </c>
      <c r="C92" s="916" t="e">
        <f t="shared" si="11"/>
        <v>#VALUE!</v>
      </c>
      <c r="D92" s="917" t="e">
        <f t="shared" si="12"/>
        <v>#VALUE!</v>
      </c>
      <c r="E92" s="917" t="e">
        <f t="shared" si="13"/>
        <v>#VALUE!</v>
      </c>
      <c r="F92" s="918" t="e">
        <f t="shared" si="14"/>
        <v>#VALUE!</v>
      </c>
      <c r="G92" s="919"/>
      <c r="H92" s="835"/>
      <c r="I92" s="920">
        <v>83</v>
      </c>
      <c r="J92" s="921">
        <v>46844</v>
      </c>
      <c r="K92" s="916" t="e">
        <f t="shared" si="15"/>
        <v>#VALUE!</v>
      </c>
      <c r="L92" s="917" t="e">
        <f t="shared" si="16"/>
        <v>#VALUE!</v>
      </c>
      <c r="M92" s="917" t="e">
        <f t="shared" si="17"/>
        <v>#VALUE!</v>
      </c>
      <c r="N92" s="918" t="e">
        <f t="shared" si="18"/>
        <v>#VALUE!</v>
      </c>
      <c r="O92" s="919"/>
    </row>
    <row r="93" spans="1:15" ht="15" thickBot="1" x14ac:dyDescent="0.25">
      <c r="A93" s="922">
        <v>84</v>
      </c>
      <c r="B93" s="923">
        <v>46874</v>
      </c>
      <c r="C93" s="924" t="e">
        <f t="shared" si="11"/>
        <v>#VALUE!</v>
      </c>
      <c r="D93" s="925" t="e">
        <f t="shared" si="12"/>
        <v>#VALUE!</v>
      </c>
      <c r="E93" s="925" t="e">
        <f t="shared" si="13"/>
        <v>#VALUE!</v>
      </c>
      <c r="F93" s="926" t="e">
        <f t="shared" si="14"/>
        <v>#VALUE!</v>
      </c>
      <c r="G93" s="927"/>
      <c r="H93" s="835"/>
      <c r="I93" s="922">
        <v>84</v>
      </c>
      <c r="J93" s="923">
        <v>46874</v>
      </c>
      <c r="K93" s="924" t="e">
        <f t="shared" si="15"/>
        <v>#VALUE!</v>
      </c>
      <c r="L93" s="925" t="e">
        <f t="shared" si="16"/>
        <v>#VALUE!</v>
      </c>
      <c r="M93" s="925" t="e">
        <f t="shared" si="17"/>
        <v>#VALUE!</v>
      </c>
      <c r="N93" s="926" t="e">
        <f t="shared" si="18"/>
        <v>#VALUE!</v>
      </c>
      <c r="O93" s="927"/>
    </row>
    <row r="94" spans="1:15" x14ac:dyDescent="0.2">
      <c r="A94" s="920">
        <v>85</v>
      </c>
      <c r="B94" s="921">
        <v>46905</v>
      </c>
      <c r="C94" s="928" t="e">
        <f t="shared" si="11"/>
        <v>#VALUE!</v>
      </c>
      <c r="D94" s="929" t="e">
        <f t="shared" si="12"/>
        <v>#VALUE!</v>
      </c>
      <c r="E94" s="929" t="e">
        <f t="shared" si="13"/>
        <v>#VALUE!</v>
      </c>
      <c r="F94" s="930" t="e">
        <f t="shared" si="14"/>
        <v>#VALUE!</v>
      </c>
      <c r="G94" s="1038" t="e">
        <f>$G$8*AVERAGE(C94:C105)</f>
        <v>#VALUE!</v>
      </c>
      <c r="H94" s="835"/>
      <c r="I94" s="920">
        <v>85</v>
      </c>
      <c r="J94" s="921">
        <v>46905</v>
      </c>
      <c r="K94" s="928" t="e">
        <f t="shared" si="15"/>
        <v>#VALUE!</v>
      </c>
      <c r="L94" s="929" t="e">
        <f t="shared" si="16"/>
        <v>#VALUE!</v>
      </c>
      <c r="M94" s="929" t="e">
        <f t="shared" si="17"/>
        <v>#VALUE!</v>
      </c>
      <c r="N94" s="930" t="e">
        <f t="shared" si="18"/>
        <v>#VALUE!</v>
      </c>
      <c r="O94" s="1038" t="e">
        <f>$G$8*AVERAGE(K94:K105)</f>
        <v>#VALUE!</v>
      </c>
    </row>
    <row r="95" spans="1:15" x14ac:dyDescent="0.2">
      <c r="A95" s="920">
        <v>86</v>
      </c>
      <c r="B95" s="921">
        <v>46935</v>
      </c>
      <c r="C95" s="916" t="e">
        <f t="shared" si="11"/>
        <v>#VALUE!</v>
      </c>
      <c r="D95" s="917" t="e">
        <f t="shared" si="12"/>
        <v>#VALUE!</v>
      </c>
      <c r="E95" s="917" t="e">
        <f t="shared" si="13"/>
        <v>#VALUE!</v>
      </c>
      <c r="F95" s="918" t="e">
        <f t="shared" si="14"/>
        <v>#VALUE!</v>
      </c>
      <c r="G95" s="919"/>
      <c r="H95" s="835"/>
      <c r="I95" s="920">
        <v>86</v>
      </c>
      <c r="J95" s="921">
        <v>46935</v>
      </c>
      <c r="K95" s="916" t="e">
        <f t="shared" si="15"/>
        <v>#VALUE!</v>
      </c>
      <c r="L95" s="917" t="e">
        <f t="shared" si="16"/>
        <v>#VALUE!</v>
      </c>
      <c r="M95" s="917" t="e">
        <f t="shared" si="17"/>
        <v>#VALUE!</v>
      </c>
      <c r="N95" s="918" t="e">
        <f t="shared" si="18"/>
        <v>#VALUE!</v>
      </c>
      <c r="O95" s="919"/>
    </row>
    <row r="96" spans="1:15" x14ac:dyDescent="0.2">
      <c r="A96" s="920">
        <v>87</v>
      </c>
      <c r="B96" s="921">
        <v>46966</v>
      </c>
      <c r="C96" s="916" t="e">
        <f t="shared" si="11"/>
        <v>#VALUE!</v>
      </c>
      <c r="D96" s="917" t="e">
        <f t="shared" si="12"/>
        <v>#VALUE!</v>
      </c>
      <c r="E96" s="917" t="e">
        <f t="shared" si="13"/>
        <v>#VALUE!</v>
      </c>
      <c r="F96" s="918" t="e">
        <f t="shared" si="14"/>
        <v>#VALUE!</v>
      </c>
      <c r="G96" s="919"/>
      <c r="H96" s="835"/>
      <c r="I96" s="920">
        <v>87</v>
      </c>
      <c r="J96" s="921">
        <v>46966</v>
      </c>
      <c r="K96" s="916" t="e">
        <f t="shared" si="15"/>
        <v>#VALUE!</v>
      </c>
      <c r="L96" s="917" t="e">
        <f t="shared" si="16"/>
        <v>#VALUE!</v>
      </c>
      <c r="M96" s="917" t="e">
        <f t="shared" si="17"/>
        <v>#VALUE!</v>
      </c>
      <c r="N96" s="918" t="e">
        <f t="shared" si="18"/>
        <v>#VALUE!</v>
      </c>
      <c r="O96" s="919"/>
    </row>
    <row r="97" spans="1:15" x14ac:dyDescent="0.2">
      <c r="A97" s="920">
        <v>88</v>
      </c>
      <c r="B97" s="921">
        <v>46997</v>
      </c>
      <c r="C97" s="916" t="e">
        <f t="shared" si="11"/>
        <v>#VALUE!</v>
      </c>
      <c r="D97" s="917" t="e">
        <f t="shared" si="12"/>
        <v>#VALUE!</v>
      </c>
      <c r="E97" s="917" t="e">
        <f t="shared" si="13"/>
        <v>#VALUE!</v>
      </c>
      <c r="F97" s="918" t="e">
        <f t="shared" si="14"/>
        <v>#VALUE!</v>
      </c>
      <c r="G97" s="919"/>
      <c r="H97" s="835"/>
      <c r="I97" s="920">
        <v>88</v>
      </c>
      <c r="J97" s="921">
        <v>46997</v>
      </c>
      <c r="K97" s="916" t="e">
        <f t="shared" si="15"/>
        <v>#VALUE!</v>
      </c>
      <c r="L97" s="917" t="e">
        <f t="shared" si="16"/>
        <v>#VALUE!</v>
      </c>
      <c r="M97" s="917" t="e">
        <f t="shared" si="17"/>
        <v>#VALUE!</v>
      </c>
      <c r="N97" s="918" t="e">
        <f t="shared" si="18"/>
        <v>#VALUE!</v>
      </c>
      <c r="O97" s="919"/>
    </row>
    <row r="98" spans="1:15" x14ac:dyDescent="0.2">
      <c r="A98" s="920">
        <v>89</v>
      </c>
      <c r="B98" s="921">
        <v>47027</v>
      </c>
      <c r="C98" s="916" t="e">
        <f t="shared" si="11"/>
        <v>#VALUE!</v>
      </c>
      <c r="D98" s="917" t="e">
        <f t="shared" si="12"/>
        <v>#VALUE!</v>
      </c>
      <c r="E98" s="917" t="e">
        <f t="shared" si="13"/>
        <v>#VALUE!</v>
      </c>
      <c r="F98" s="918" t="e">
        <f t="shared" si="14"/>
        <v>#VALUE!</v>
      </c>
      <c r="G98" s="919"/>
      <c r="H98" s="835"/>
      <c r="I98" s="920">
        <v>89</v>
      </c>
      <c r="J98" s="921">
        <v>47027</v>
      </c>
      <c r="K98" s="916" t="e">
        <f t="shared" si="15"/>
        <v>#VALUE!</v>
      </c>
      <c r="L98" s="917" t="e">
        <f t="shared" si="16"/>
        <v>#VALUE!</v>
      </c>
      <c r="M98" s="917" t="e">
        <f t="shared" si="17"/>
        <v>#VALUE!</v>
      </c>
      <c r="N98" s="918" t="e">
        <f t="shared" si="18"/>
        <v>#VALUE!</v>
      </c>
      <c r="O98" s="919"/>
    </row>
    <row r="99" spans="1:15" x14ac:dyDescent="0.2">
      <c r="A99" s="920">
        <v>90</v>
      </c>
      <c r="B99" s="921">
        <v>47058</v>
      </c>
      <c r="C99" s="916" t="e">
        <f t="shared" si="11"/>
        <v>#VALUE!</v>
      </c>
      <c r="D99" s="917" t="e">
        <f t="shared" si="12"/>
        <v>#VALUE!</v>
      </c>
      <c r="E99" s="917" t="e">
        <f t="shared" si="13"/>
        <v>#VALUE!</v>
      </c>
      <c r="F99" s="918" t="e">
        <f t="shared" si="14"/>
        <v>#VALUE!</v>
      </c>
      <c r="G99" s="919"/>
      <c r="H99" s="835"/>
      <c r="I99" s="920">
        <v>90</v>
      </c>
      <c r="J99" s="921">
        <v>47058</v>
      </c>
      <c r="K99" s="916" t="e">
        <f t="shared" si="15"/>
        <v>#VALUE!</v>
      </c>
      <c r="L99" s="917" t="e">
        <f t="shared" si="16"/>
        <v>#VALUE!</v>
      </c>
      <c r="M99" s="917" t="e">
        <f t="shared" si="17"/>
        <v>#VALUE!</v>
      </c>
      <c r="N99" s="918" t="e">
        <f t="shared" si="18"/>
        <v>#VALUE!</v>
      </c>
      <c r="O99" s="919"/>
    </row>
    <row r="100" spans="1:15" x14ac:dyDescent="0.2">
      <c r="A100" s="920">
        <v>91</v>
      </c>
      <c r="B100" s="921">
        <v>47088</v>
      </c>
      <c r="C100" s="916" t="e">
        <f t="shared" si="11"/>
        <v>#VALUE!</v>
      </c>
      <c r="D100" s="917" t="e">
        <f t="shared" si="12"/>
        <v>#VALUE!</v>
      </c>
      <c r="E100" s="917" t="e">
        <f t="shared" si="13"/>
        <v>#VALUE!</v>
      </c>
      <c r="F100" s="918" t="e">
        <f t="shared" si="14"/>
        <v>#VALUE!</v>
      </c>
      <c r="G100" s="919"/>
      <c r="H100" s="835"/>
      <c r="I100" s="920">
        <v>91</v>
      </c>
      <c r="J100" s="921">
        <v>47088</v>
      </c>
      <c r="K100" s="916" t="e">
        <f t="shared" si="15"/>
        <v>#VALUE!</v>
      </c>
      <c r="L100" s="917" t="e">
        <f t="shared" si="16"/>
        <v>#VALUE!</v>
      </c>
      <c r="M100" s="917" t="e">
        <f t="shared" si="17"/>
        <v>#VALUE!</v>
      </c>
      <c r="N100" s="918" t="e">
        <f t="shared" si="18"/>
        <v>#VALUE!</v>
      </c>
      <c r="O100" s="919"/>
    </row>
    <row r="101" spans="1:15" x14ac:dyDescent="0.2">
      <c r="A101" s="920">
        <v>92</v>
      </c>
      <c r="B101" s="921">
        <v>47119</v>
      </c>
      <c r="C101" s="916" t="e">
        <f t="shared" si="11"/>
        <v>#VALUE!</v>
      </c>
      <c r="D101" s="917" t="e">
        <f t="shared" si="12"/>
        <v>#VALUE!</v>
      </c>
      <c r="E101" s="917" t="e">
        <f t="shared" si="13"/>
        <v>#VALUE!</v>
      </c>
      <c r="F101" s="918" t="e">
        <f t="shared" si="14"/>
        <v>#VALUE!</v>
      </c>
      <c r="G101" s="919"/>
      <c r="H101" s="835"/>
      <c r="I101" s="920">
        <v>92</v>
      </c>
      <c r="J101" s="921">
        <v>47119</v>
      </c>
      <c r="K101" s="916" t="e">
        <f t="shared" si="15"/>
        <v>#VALUE!</v>
      </c>
      <c r="L101" s="917" t="e">
        <f t="shared" si="16"/>
        <v>#VALUE!</v>
      </c>
      <c r="M101" s="917" t="e">
        <f t="shared" si="17"/>
        <v>#VALUE!</v>
      </c>
      <c r="N101" s="918" t="e">
        <f t="shared" si="18"/>
        <v>#VALUE!</v>
      </c>
      <c r="O101" s="919"/>
    </row>
    <row r="102" spans="1:15" x14ac:dyDescent="0.2">
      <c r="A102" s="920">
        <v>93</v>
      </c>
      <c r="B102" s="921">
        <v>47150</v>
      </c>
      <c r="C102" s="916" t="e">
        <f t="shared" si="11"/>
        <v>#VALUE!</v>
      </c>
      <c r="D102" s="917" t="e">
        <f t="shared" si="12"/>
        <v>#VALUE!</v>
      </c>
      <c r="E102" s="917" t="e">
        <f t="shared" si="13"/>
        <v>#VALUE!</v>
      </c>
      <c r="F102" s="918" t="e">
        <f t="shared" si="14"/>
        <v>#VALUE!</v>
      </c>
      <c r="G102" s="919"/>
      <c r="H102" s="835"/>
      <c r="I102" s="920">
        <v>93</v>
      </c>
      <c r="J102" s="921">
        <v>47150</v>
      </c>
      <c r="K102" s="916" t="e">
        <f t="shared" si="15"/>
        <v>#VALUE!</v>
      </c>
      <c r="L102" s="917" t="e">
        <f t="shared" si="16"/>
        <v>#VALUE!</v>
      </c>
      <c r="M102" s="917" t="e">
        <f t="shared" si="17"/>
        <v>#VALUE!</v>
      </c>
      <c r="N102" s="918" t="e">
        <f t="shared" si="18"/>
        <v>#VALUE!</v>
      </c>
      <c r="O102" s="919"/>
    </row>
    <row r="103" spans="1:15" x14ac:dyDescent="0.2">
      <c r="A103" s="920">
        <v>94</v>
      </c>
      <c r="B103" s="921">
        <v>47178</v>
      </c>
      <c r="C103" s="916" t="e">
        <f t="shared" si="11"/>
        <v>#VALUE!</v>
      </c>
      <c r="D103" s="917" t="e">
        <f t="shared" si="12"/>
        <v>#VALUE!</v>
      </c>
      <c r="E103" s="917" t="e">
        <f t="shared" si="13"/>
        <v>#VALUE!</v>
      </c>
      <c r="F103" s="918" t="e">
        <f t="shared" si="14"/>
        <v>#VALUE!</v>
      </c>
      <c r="G103" s="919"/>
      <c r="H103" s="835"/>
      <c r="I103" s="920">
        <v>94</v>
      </c>
      <c r="J103" s="921">
        <v>47178</v>
      </c>
      <c r="K103" s="916" t="e">
        <f t="shared" si="15"/>
        <v>#VALUE!</v>
      </c>
      <c r="L103" s="917" t="e">
        <f t="shared" si="16"/>
        <v>#VALUE!</v>
      </c>
      <c r="M103" s="917" t="e">
        <f t="shared" si="17"/>
        <v>#VALUE!</v>
      </c>
      <c r="N103" s="918" t="e">
        <f t="shared" si="18"/>
        <v>#VALUE!</v>
      </c>
      <c r="O103" s="919"/>
    </row>
    <row r="104" spans="1:15" x14ac:dyDescent="0.2">
      <c r="A104" s="920">
        <v>95</v>
      </c>
      <c r="B104" s="921">
        <v>47209</v>
      </c>
      <c r="C104" s="916" t="e">
        <f t="shared" si="11"/>
        <v>#VALUE!</v>
      </c>
      <c r="D104" s="917" t="e">
        <f t="shared" si="12"/>
        <v>#VALUE!</v>
      </c>
      <c r="E104" s="917" t="e">
        <f t="shared" si="13"/>
        <v>#VALUE!</v>
      </c>
      <c r="F104" s="918" t="e">
        <f t="shared" si="14"/>
        <v>#VALUE!</v>
      </c>
      <c r="G104" s="919"/>
      <c r="H104" s="835"/>
      <c r="I104" s="920">
        <v>95</v>
      </c>
      <c r="J104" s="921">
        <v>47209</v>
      </c>
      <c r="K104" s="916" t="e">
        <f t="shared" si="15"/>
        <v>#VALUE!</v>
      </c>
      <c r="L104" s="917" t="e">
        <f t="shared" si="16"/>
        <v>#VALUE!</v>
      </c>
      <c r="M104" s="917" t="e">
        <f t="shared" si="17"/>
        <v>#VALUE!</v>
      </c>
      <c r="N104" s="918" t="e">
        <f t="shared" si="18"/>
        <v>#VALUE!</v>
      </c>
      <c r="O104" s="919"/>
    </row>
    <row r="105" spans="1:15" ht="15" thickBot="1" x14ac:dyDescent="0.25">
      <c r="A105" s="920">
        <v>96</v>
      </c>
      <c r="B105" s="921">
        <v>47239</v>
      </c>
      <c r="C105" s="931" t="e">
        <f t="shared" si="11"/>
        <v>#VALUE!</v>
      </c>
      <c r="D105" s="932" t="e">
        <f t="shared" si="12"/>
        <v>#VALUE!</v>
      </c>
      <c r="E105" s="932" t="e">
        <f t="shared" si="13"/>
        <v>#VALUE!</v>
      </c>
      <c r="F105" s="933" t="e">
        <f t="shared" si="14"/>
        <v>#VALUE!</v>
      </c>
      <c r="G105" s="1036"/>
      <c r="H105" s="835"/>
      <c r="I105" s="920">
        <v>96</v>
      </c>
      <c r="J105" s="921">
        <v>47239</v>
      </c>
      <c r="K105" s="931" t="e">
        <f t="shared" si="15"/>
        <v>#VALUE!</v>
      </c>
      <c r="L105" s="932" t="e">
        <f t="shared" si="16"/>
        <v>#VALUE!</v>
      </c>
      <c r="M105" s="932" t="e">
        <f t="shared" si="17"/>
        <v>#VALUE!</v>
      </c>
      <c r="N105" s="933" t="e">
        <f t="shared" si="18"/>
        <v>#VALUE!</v>
      </c>
      <c r="O105" s="1036"/>
    </row>
    <row r="106" spans="1:15" x14ac:dyDescent="0.2">
      <c r="A106" s="934">
        <v>97</v>
      </c>
      <c r="B106" s="935">
        <v>47270</v>
      </c>
      <c r="C106" s="936" t="e">
        <f t="shared" si="11"/>
        <v>#VALUE!</v>
      </c>
      <c r="D106" s="937" t="e">
        <f t="shared" si="12"/>
        <v>#VALUE!</v>
      </c>
      <c r="E106" s="937" t="e">
        <f t="shared" si="13"/>
        <v>#VALUE!</v>
      </c>
      <c r="F106" s="938" t="e">
        <f t="shared" si="14"/>
        <v>#VALUE!</v>
      </c>
      <c r="G106" s="1038" t="e">
        <f>$G$8*AVERAGE(C106:C117)</f>
        <v>#VALUE!</v>
      </c>
      <c r="H106" s="835"/>
      <c r="I106" s="934">
        <v>97</v>
      </c>
      <c r="J106" s="935">
        <v>47270</v>
      </c>
      <c r="K106" s="936" t="e">
        <f t="shared" si="15"/>
        <v>#VALUE!</v>
      </c>
      <c r="L106" s="937" t="e">
        <f t="shared" si="16"/>
        <v>#VALUE!</v>
      </c>
      <c r="M106" s="937" t="e">
        <f t="shared" si="17"/>
        <v>#VALUE!</v>
      </c>
      <c r="N106" s="938" t="e">
        <f t="shared" si="18"/>
        <v>#VALUE!</v>
      </c>
      <c r="O106" s="1038" t="e">
        <f>$G$8*AVERAGE(K106:K117)</f>
        <v>#VALUE!</v>
      </c>
    </row>
    <row r="107" spans="1:15" x14ac:dyDescent="0.2">
      <c r="A107" s="920">
        <v>98</v>
      </c>
      <c r="B107" s="921">
        <v>47300</v>
      </c>
      <c r="C107" s="916" t="e">
        <f t="shared" si="11"/>
        <v>#VALUE!</v>
      </c>
      <c r="D107" s="917" t="e">
        <f t="shared" si="12"/>
        <v>#VALUE!</v>
      </c>
      <c r="E107" s="917" t="e">
        <f t="shared" si="13"/>
        <v>#VALUE!</v>
      </c>
      <c r="F107" s="918" t="e">
        <f t="shared" si="14"/>
        <v>#VALUE!</v>
      </c>
      <c r="G107" s="919"/>
      <c r="H107" s="835"/>
      <c r="I107" s="920">
        <v>98</v>
      </c>
      <c r="J107" s="921">
        <v>47300</v>
      </c>
      <c r="K107" s="916" t="e">
        <f t="shared" si="15"/>
        <v>#VALUE!</v>
      </c>
      <c r="L107" s="917" t="e">
        <f t="shared" si="16"/>
        <v>#VALUE!</v>
      </c>
      <c r="M107" s="917" t="e">
        <f t="shared" si="17"/>
        <v>#VALUE!</v>
      </c>
      <c r="N107" s="918" t="e">
        <f t="shared" si="18"/>
        <v>#VALUE!</v>
      </c>
      <c r="O107" s="919"/>
    </row>
    <row r="108" spans="1:15" x14ac:dyDescent="0.2">
      <c r="A108" s="920">
        <v>99</v>
      </c>
      <c r="B108" s="921">
        <v>47331</v>
      </c>
      <c r="C108" s="916" t="e">
        <f t="shared" si="11"/>
        <v>#VALUE!</v>
      </c>
      <c r="D108" s="917" t="e">
        <f t="shared" si="12"/>
        <v>#VALUE!</v>
      </c>
      <c r="E108" s="917" t="e">
        <f t="shared" si="13"/>
        <v>#VALUE!</v>
      </c>
      <c r="F108" s="918" t="e">
        <f t="shared" si="14"/>
        <v>#VALUE!</v>
      </c>
      <c r="G108" s="919"/>
      <c r="H108" s="835"/>
      <c r="I108" s="920">
        <v>99</v>
      </c>
      <c r="J108" s="921">
        <v>47331</v>
      </c>
      <c r="K108" s="916" t="e">
        <f t="shared" si="15"/>
        <v>#VALUE!</v>
      </c>
      <c r="L108" s="917" t="e">
        <f t="shared" si="16"/>
        <v>#VALUE!</v>
      </c>
      <c r="M108" s="917" t="e">
        <f t="shared" si="17"/>
        <v>#VALUE!</v>
      </c>
      <c r="N108" s="918" t="e">
        <f t="shared" si="18"/>
        <v>#VALUE!</v>
      </c>
      <c r="O108" s="919"/>
    </row>
    <row r="109" spans="1:15" x14ac:dyDescent="0.2">
      <c r="A109" s="920">
        <v>100</v>
      </c>
      <c r="B109" s="921">
        <v>47362</v>
      </c>
      <c r="C109" s="916" t="e">
        <f t="shared" si="11"/>
        <v>#VALUE!</v>
      </c>
      <c r="D109" s="917" t="e">
        <f t="shared" si="12"/>
        <v>#VALUE!</v>
      </c>
      <c r="E109" s="917" t="e">
        <f t="shared" si="13"/>
        <v>#VALUE!</v>
      </c>
      <c r="F109" s="918" t="e">
        <f t="shared" si="14"/>
        <v>#VALUE!</v>
      </c>
      <c r="G109" s="919"/>
      <c r="H109" s="835"/>
      <c r="I109" s="920">
        <v>100</v>
      </c>
      <c r="J109" s="921">
        <v>47362</v>
      </c>
      <c r="K109" s="916" t="e">
        <f t="shared" si="15"/>
        <v>#VALUE!</v>
      </c>
      <c r="L109" s="917" t="e">
        <f t="shared" si="16"/>
        <v>#VALUE!</v>
      </c>
      <c r="M109" s="917" t="e">
        <f t="shared" si="17"/>
        <v>#VALUE!</v>
      </c>
      <c r="N109" s="918" t="e">
        <f t="shared" si="18"/>
        <v>#VALUE!</v>
      </c>
      <c r="O109" s="919"/>
    </row>
    <row r="110" spans="1:15" x14ac:dyDescent="0.2">
      <c r="A110" s="920">
        <v>101</v>
      </c>
      <c r="B110" s="921">
        <v>47392</v>
      </c>
      <c r="C110" s="916" t="e">
        <f t="shared" si="11"/>
        <v>#VALUE!</v>
      </c>
      <c r="D110" s="917" t="e">
        <f t="shared" si="12"/>
        <v>#VALUE!</v>
      </c>
      <c r="E110" s="917" t="e">
        <f t="shared" si="13"/>
        <v>#VALUE!</v>
      </c>
      <c r="F110" s="918" t="e">
        <f t="shared" si="14"/>
        <v>#VALUE!</v>
      </c>
      <c r="G110" s="919"/>
      <c r="H110" s="835"/>
      <c r="I110" s="920">
        <v>101</v>
      </c>
      <c r="J110" s="921">
        <v>47392</v>
      </c>
      <c r="K110" s="916" t="e">
        <f t="shared" si="15"/>
        <v>#VALUE!</v>
      </c>
      <c r="L110" s="917" t="e">
        <f t="shared" si="16"/>
        <v>#VALUE!</v>
      </c>
      <c r="M110" s="917" t="e">
        <f t="shared" si="17"/>
        <v>#VALUE!</v>
      </c>
      <c r="N110" s="918" t="e">
        <f t="shared" si="18"/>
        <v>#VALUE!</v>
      </c>
      <c r="O110" s="919"/>
    </row>
    <row r="111" spans="1:15" x14ac:dyDescent="0.2">
      <c r="A111" s="920">
        <v>102</v>
      </c>
      <c r="B111" s="921">
        <v>47423</v>
      </c>
      <c r="C111" s="916" t="e">
        <f t="shared" si="11"/>
        <v>#VALUE!</v>
      </c>
      <c r="D111" s="917" t="e">
        <f t="shared" si="12"/>
        <v>#VALUE!</v>
      </c>
      <c r="E111" s="917" t="e">
        <f t="shared" si="13"/>
        <v>#VALUE!</v>
      </c>
      <c r="F111" s="918" t="e">
        <f t="shared" si="14"/>
        <v>#VALUE!</v>
      </c>
      <c r="G111" s="919"/>
      <c r="H111" s="835"/>
      <c r="I111" s="920">
        <v>102</v>
      </c>
      <c r="J111" s="921">
        <v>47423</v>
      </c>
      <c r="K111" s="916" t="e">
        <f t="shared" si="15"/>
        <v>#VALUE!</v>
      </c>
      <c r="L111" s="917" t="e">
        <f t="shared" si="16"/>
        <v>#VALUE!</v>
      </c>
      <c r="M111" s="917" t="e">
        <f t="shared" si="17"/>
        <v>#VALUE!</v>
      </c>
      <c r="N111" s="918" t="e">
        <f t="shared" si="18"/>
        <v>#VALUE!</v>
      </c>
      <c r="O111" s="919"/>
    </row>
    <row r="112" spans="1:15" x14ac:dyDescent="0.2">
      <c r="A112" s="920">
        <v>103</v>
      </c>
      <c r="B112" s="921">
        <v>47453</v>
      </c>
      <c r="C112" s="916" t="e">
        <f t="shared" si="11"/>
        <v>#VALUE!</v>
      </c>
      <c r="D112" s="917" t="e">
        <f t="shared" si="12"/>
        <v>#VALUE!</v>
      </c>
      <c r="E112" s="917" t="e">
        <f t="shared" si="13"/>
        <v>#VALUE!</v>
      </c>
      <c r="F112" s="918" t="e">
        <f t="shared" si="14"/>
        <v>#VALUE!</v>
      </c>
      <c r="G112" s="919"/>
      <c r="H112" s="835"/>
      <c r="I112" s="920">
        <v>103</v>
      </c>
      <c r="J112" s="921">
        <v>47453</v>
      </c>
      <c r="K112" s="916" t="e">
        <f t="shared" si="15"/>
        <v>#VALUE!</v>
      </c>
      <c r="L112" s="917" t="e">
        <f t="shared" si="16"/>
        <v>#VALUE!</v>
      </c>
      <c r="M112" s="917" t="e">
        <f t="shared" si="17"/>
        <v>#VALUE!</v>
      </c>
      <c r="N112" s="918" t="e">
        <f t="shared" si="18"/>
        <v>#VALUE!</v>
      </c>
      <c r="O112" s="919"/>
    </row>
    <row r="113" spans="1:15" x14ac:dyDescent="0.2">
      <c r="A113" s="920">
        <v>104</v>
      </c>
      <c r="B113" s="921">
        <v>47484</v>
      </c>
      <c r="C113" s="916" t="e">
        <f t="shared" si="11"/>
        <v>#VALUE!</v>
      </c>
      <c r="D113" s="917" t="e">
        <f t="shared" si="12"/>
        <v>#VALUE!</v>
      </c>
      <c r="E113" s="917" t="e">
        <f t="shared" si="13"/>
        <v>#VALUE!</v>
      </c>
      <c r="F113" s="918" t="e">
        <f t="shared" si="14"/>
        <v>#VALUE!</v>
      </c>
      <c r="G113" s="919"/>
      <c r="H113" s="835"/>
      <c r="I113" s="920">
        <v>104</v>
      </c>
      <c r="J113" s="921">
        <v>47484</v>
      </c>
      <c r="K113" s="916" t="e">
        <f t="shared" si="15"/>
        <v>#VALUE!</v>
      </c>
      <c r="L113" s="917" t="e">
        <f t="shared" si="16"/>
        <v>#VALUE!</v>
      </c>
      <c r="M113" s="917" t="e">
        <f t="shared" si="17"/>
        <v>#VALUE!</v>
      </c>
      <c r="N113" s="918" t="e">
        <f t="shared" si="18"/>
        <v>#VALUE!</v>
      </c>
      <c r="O113" s="919"/>
    </row>
    <row r="114" spans="1:15" x14ac:dyDescent="0.2">
      <c r="A114" s="920">
        <v>105</v>
      </c>
      <c r="B114" s="921">
        <v>47515</v>
      </c>
      <c r="C114" s="916" t="e">
        <f t="shared" si="11"/>
        <v>#VALUE!</v>
      </c>
      <c r="D114" s="917" t="e">
        <f t="shared" si="12"/>
        <v>#VALUE!</v>
      </c>
      <c r="E114" s="917" t="e">
        <f t="shared" si="13"/>
        <v>#VALUE!</v>
      </c>
      <c r="F114" s="918" t="e">
        <f t="shared" si="14"/>
        <v>#VALUE!</v>
      </c>
      <c r="G114" s="919"/>
      <c r="H114" s="835"/>
      <c r="I114" s="920">
        <v>105</v>
      </c>
      <c r="J114" s="921">
        <v>47515</v>
      </c>
      <c r="K114" s="916" t="e">
        <f t="shared" si="15"/>
        <v>#VALUE!</v>
      </c>
      <c r="L114" s="917" t="e">
        <f t="shared" si="16"/>
        <v>#VALUE!</v>
      </c>
      <c r="M114" s="917" t="e">
        <f t="shared" si="17"/>
        <v>#VALUE!</v>
      </c>
      <c r="N114" s="918" t="e">
        <f t="shared" si="18"/>
        <v>#VALUE!</v>
      </c>
      <c r="O114" s="919"/>
    </row>
    <row r="115" spans="1:15" x14ac:dyDescent="0.2">
      <c r="A115" s="920">
        <v>106</v>
      </c>
      <c r="B115" s="921">
        <v>47543</v>
      </c>
      <c r="C115" s="916" t="e">
        <f t="shared" si="11"/>
        <v>#VALUE!</v>
      </c>
      <c r="D115" s="917" t="e">
        <f t="shared" si="12"/>
        <v>#VALUE!</v>
      </c>
      <c r="E115" s="917" t="e">
        <f t="shared" si="13"/>
        <v>#VALUE!</v>
      </c>
      <c r="F115" s="918" t="e">
        <f t="shared" si="14"/>
        <v>#VALUE!</v>
      </c>
      <c r="G115" s="919"/>
      <c r="H115" s="835"/>
      <c r="I115" s="920">
        <v>106</v>
      </c>
      <c r="J115" s="921">
        <v>47543</v>
      </c>
      <c r="K115" s="916" t="e">
        <f t="shared" si="15"/>
        <v>#VALUE!</v>
      </c>
      <c r="L115" s="917" t="e">
        <f t="shared" si="16"/>
        <v>#VALUE!</v>
      </c>
      <c r="M115" s="917" t="e">
        <f t="shared" si="17"/>
        <v>#VALUE!</v>
      </c>
      <c r="N115" s="918" t="e">
        <f t="shared" si="18"/>
        <v>#VALUE!</v>
      </c>
      <c r="O115" s="919"/>
    </row>
    <row r="116" spans="1:15" x14ac:dyDescent="0.2">
      <c r="A116" s="920">
        <v>107</v>
      </c>
      <c r="B116" s="921">
        <v>47574</v>
      </c>
      <c r="C116" s="916" t="e">
        <f t="shared" si="11"/>
        <v>#VALUE!</v>
      </c>
      <c r="D116" s="917" t="e">
        <f t="shared" si="12"/>
        <v>#VALUE!</v>
      </c>
      <c r="E116" s="917" t="e">
        <f t="shared" si="13"/>
        <v>#VALUE!</v>
      </c>
      <c r="F116" s="918" t="e">
        <f t="shared" si="14"/>
        <v>#VALUE!</v>
      </c>
      <c r="G116" s="919"/>
      <c r="H116" s="835"/>
      <c r="I116" s="920">
        <v>107</v>
      </c>
      <c r="J116" s="921">
        <v>47574</v>
      </c>
      <c r="K116" s="916" t="e">
        <f t="shared" si="15"/>
        <v>#VALUE!</v>
      </c>
      <c r="L116" s="917" t="e">
        <f t="shared" si="16"/>
        <v>#VALUE!</v>
      </c>
      <c r="M116" s="917" t="e">
        <f t="shared" si="17"/>
        <v>#VALUE!</v>
      </c>
      <c r="N116" s="918" t="e">
        <f t="shared" si="18"/>
        <v>#VALUE!</v>
      </c>
      <c r="O116" s="919"/>
    </row>
    <row r="117" spans="1:15" ht="15" thickBot="1" x14ac:dyDescent="0.25">
      <c r="A117" s="922">
        <v>108</v>
      </c>
      <c r="B117" s="923">
        <v>47604</v>
      </c>
      <c r="C117" s="924" t="e">
        <f t="shared" si="11"/>
        <v>#VALUE!</v>
      </c>
      <c r="D117" s="925" t="e">
        <f t="shared" si="12"/>
        <v>#VALUE!</v>
      </c>
      <c r="E117" s="925" t="e">
        <f t="shared" si="13"/>
        <v>#VALUE!</v>
      </c>
      <c r="F117" s="926" t="e">
        <f t="shared" si="14"/>
        <v>#VALUE!</v>
      </c>
      <c r="G117" s="927"/>
      <c r="H117" s="835"/>
      <c r="I117" s="922">
        <v>108</v>
      </c>
      <c r="J117" s="923">
        <v>47604</v>
      </c>
      <c r="K117" s="924" t="e">
        <f t="shared" si="15"/>
        <v>#VALUE!</v>
      </c>
      <c r="L117" s="925" t="e">
        <f t="shared" si="16"/>
        <v>#VALUE!</v>
      </c>
      <c r="M117" s="925" t="e">
        <f t="shared" si="17"/>
        <v>#VALUE!</v>
      </c>
      <c r="N117" s="926" t="e">
        <f t="shared" si="18"/>
        <v>#VALUE!</v>
      </c>
      <c r="O117" s="927"/>
    </row>
    <row r="118" spans="1:15" x14ac:dyDescent="0.2">
      <c r="A118" s="920">
        <v>109</v>
      </c>
      <c r="B118" s="921">
        <v>47635</v>
      </c>
      <c r="C118" s="928" t="e">
        <f t="shared" si="11"/>
        <v>#VALUE!</v>
      </c>
      <c r="D118" s="929" t="e">
        <f t="shared" si="12"/>
        <v>#VALUE!</v>
      </c>
      <c r="E118" s="929" t="e">
        <f t="shared" si="13"/>
        <v>#VALUE!</v>
      </c>
      <c r="F118" s="930" t="e">
        <f t="shared" si="14"/>
        <v>#VALUE!</v>
      </c>
      <c r="G118" s="1038" t="e">
        <f>$G$8*AVERAGE(C118:C129)</f>
        <v>#VALUE!</v>
      </c>
      <c r="H118" s="835"/>
      <c r="I118" s="920">
        <v>109</v>
      </c>
      <c r="J118" s="921">
        <v>47635</v>
      </c>
      <c r="K118" s="928" t="e">
        <f t="shared" si="15"/>
        <v>#VALUE!</v>
      </c>
      <c r="L118" s="929" t="e">
        <f t="shared" si="16"/>
        <v>#VALUE!</v>
      </c>
      <c r="M118" s="929" t="e">
        <f t="shared" si="17"/>
        <v>#VALUE!</v>
      </c>
      <c r="N118" s="930" t="e">
        <f t="shared" si="18"/>
        <v>#VALUE!</v>
      </c>
      <c r="O118" s="1038" t="e">
        <f>$G$8*AVERAGE(K118:K129)</f>
        <v>#VALUE!</v>
      </c>
    </row>
    <row r="119" spans="1:15" x14ac:dyDescent="0.2">
      <c r="A119" s="920">
        <v>110</v>
      </c>
      <c r="B119" s="921">
        <v>47665</v>
      </c>
      <c r="C119" s="916" t="e">
        <f t="shared" si="11"/>
        <v>#VALUE!</v>
      </c>
      <c r="D119" s="917" t="e">
        <f t="shared" si="12"/>
        <v>#VALUE!</v>
      </c>
      <c r="E119" s="917" t="e">
        <f t="shared" si="13"/>
        <v>#VALUE!</v>
      </c>
      <c r="F119" s="918" t="e">
        <f t="shared" si="14"/>
        <v>#VALUE!</v>
      </c>
      <c r="G119" s="919"/>
      <c r="H119" s="835"/>
      <c r="I119" s="920">
        <v>110</v>
      </c>
      <c r="J119" s="921">
        <v>47665</v>
      </c>
      <c r="K119" s="916" t="e">
        <f t="shared" si="15"/>
        <v>#VALUE!</v>
      </c>
      <c r="L119" s="917" t="e">
        <f t="shared" si="16"/>
        <v>#VALUE!</v>
      </c>
      <c r="M119" s="917" t="e">
        <f t="shared" si="17"/>
        <v>#VALUE!</v>
      </c>
      <c r="N119" s="918" t="e">
        <f t="shared" si="18"/>
        <v>#VALUE!</v>
      </c>
      <c r="O119" s="919"/>
    </row>
    <row r="120" spans="1:15" x14ac:dyDescent="0.2">
      <c r="A120" s="920">
        <v>111</v>
      </c>
      <c r="B120" s="921">
        <v>47696</v>
      </c>
      <c r="C120" s="916" t="e">
        <f t="shared" si="11"/>
        <v>#VALUE!</v>
      </c>
      <c r="D120" s="917" t="e">
        <f t="shared" si="12"/>
        <v>#VALUE!</v>
      </c>
      <c r="E120" s="917" t="e">
        <f t="shared" si="13"/>
        <v>#VALUE!</v>
      </c>
      <c r="F120" s="918" t="e">
        <f t="shared" si="14"/>
        <v>#VALUE!</v>
      </c>
      <c r="G120" s="919"/>
      <c r="H120" s="835"/>
      <c r="I120" s="920">
        <v>111</v>
      </c>
      <c r="J120" s="921">
        <v>47696</v>
      </c>
      <c r="K120" s="916" t="e">
        <f t="shared" si="15"/>
        <v>#VALUE!</v>
      </c>
      <c r="L120" s="917" t="e">
        <f t="shared" si="16"/>
        <v>#VALUE!</v>
      </c>
      <c r="M120" s="917" t="e">
        <f t="shared" si="17"/>
        <v>#VALUE!</v>
      </c>
      <c r="N120" s="918" t="e">
        <f t="shared" si="18"/>
        <v>#VALUE!</v>
      </c>
      <c r="O120" s="919"/>
    </row>
    <row r="121" spans="1:15" x14ac:dyDescent="0.2">
      <c r="A121" s="920">
        <v>112</v>
      </c>
      <c r="B121" s="921">
        <v>47727</v>
      </c>
      <c r="C121" s="916" t="e">
        <f t="shared" si="11"/>
        <v>#VALUE!</v>
      </c>
      <c r="D121" s="917" t="e">
        <f t="shared" si="12"/>
        <v>#VALUE!</v>
      </c>
      <c r="E121" s="917" t="e">
        <f t="shared" si="13"/>
        <v>#VALUE!</v>
      </c>
      <c r="F121" s="918" t="e">
        <f t="shared" si="14"/>
        <v>#VALUE!</v>
      </c>
      <c r="G121" s="919"/>
      <c r="H121" s="835"/>
      <c r="I121" s="920">
        <v>112</v>
      </c>
      <c r="J121" s="921">
        <v>47727</v>
      </c>
      <c r="K121" s="916" t="e">
        <f t="shared" si="15"/>
        <v>#VALUE!</v>
      </c>
      <c r="L121" s="917" t="e">
        <f t="shared" si="16"/>
        <v>#VALUE!</v>
      </c>
      <c r="M121" s="917" t="e">
        <f t="shared" si="17"/>
        <v>#VALUE!</v>
      </c>
      <c r="N121" s="918" t="e">
        <f t="shared" si="18"/>
        <v>#VALUE!</v>
      </c>
      <c r="O121" s="919"/>
    </row>
    <row r="122" spans="1:15" x14ac:dyDescent="0.2">
      <c r="A122" s="920">
        <v>113</v>
      </c>
      <c r="B122" s="921">
        <v>47757</v>
      </c>
      <c r="C122" s="916" t="e">
        <f t="shared" si="11"/>
        <v>#VALUE!</v>
      </c>
      <c r="D122" s="917" t="e">
        <f t="shared" si="12"/>
        <v>#VALUE!</v>
      </c>
      <c r="E122" s="917" t="e">
        <f t="shared" si="13"/>
        <v>#VALUE!</v>
      </c>
      <c r="F122" s="918" t="e">
        <f t="shared" si="14"/>
        <v>#VALUE!</v>
      </c>
      <c r="G122" s="919"/>
      <c r="H122" s="835"/>
      <c r="I122" s="920">
        <v>113</v>
      </c>
      <c r="J122" s="921">
        <v>47757</v>
      </c>
      <c r="K122" s="916" t="e">
        <f t="shared" si="15"/>
        <v>#VALUE!</v>
      </c>
      <c r="L122" s="917" t="e">
        <f t="shared" si="16"/>
        <v>#VALUE!</v>
      </c>
      <c r="M122" s="917" t="e">
        <f t="shared" si="17"/>
        <v>#VALUE!</v>
      </c>
      <c r="N122" s="918" t="e">
        <f t="shared" si="18"/>
        <v>#VALUE!</v>
      </c>
      <c r="O122" s="919"/>
    </row>
    <row r="123" spans="1:15" x14ac:dyDescent="0.2">
      <c r="A123" s="920">
        <v>114</v>
      </c>
      <c r="B123" s="921">
        <v>47788</v>
      </c>
      <c r="C123" s="916" t="e">
        <f t="shared" si="11"/>
        <v>#VALUE!</v>
      </c>
      <c r="D123" s="917" t="e">
        <f t="shared" si="12"/>
        <v>#VALUE!</v>
      </c>
      <c r="E123" s="917" t="e">
        <f t="shared" si="13"/>
        <v>#VALUE!</v>
      </c>
      <c r="F123" s="918" t="e">
        <f t="shared" si="14"/>
        <v>#VALUE!</v>
      </c>
      <c r="G123" s="919"/>
      <c r="H123" s="835"/>
      <c r="I123" s="920">
        <v>114</v>
      </c>
      <c r="J123" s="921">
        <v>47788</v>
      </c>
      <c r="K123" s="916" t="e">
        <f t="shared" si="15"/>
        <v>#VALUE!</v>
      </c>
      <c r="L123" s="917" t="e">
        <f t="shared" si="16"/>
        <v>#VALUE!</v>
      </c>
      <c r="M123" s="917" t="e">
        <f t="shared" si="17"/>
        <v>#VALUE!</v>
      </c>
      <c r="N123" s="918" t="e">
        <f t="shared" si="18"/>
        <v>#VALUE!</v>
      </c>
      <c r="O123" s="919"/>
    </row>
    <row r="124" spans="1:15" x14ac:dyDescent="0.2">
      <c r="A124" s="920">
        <v>115</v>
      </c>
      <c r="B124" s="921">
        <v>47818</v>
      </c>
      <c r="C124" s="916" t="e">
        <f t="shared" si="11"/>
        <v>#VALUE!</v>
      </c>
      <c r="D124" s="917" t="e">
        <f t="shared" si="12"/>
        <v>#VALUE!</v>
      </c>
      <c r="E124" s="917" t="e">
        <f t="shared" si="13"/>
        <v>#VALUE!</v>
      </c>
      <c r="F124" s="918" t="e">
        <f t="shared" si="14"/>
        <v>#VALUE!</v>
      </c>
      <c r="G124" s="919"/>
      <c r="H124" s="835"/>
      <c r="I124" s="920">
        <v>115</v>
      </c>
      <c r="J124" s="921">
        <v>47818</v>
      </c>
      <c r="K124" s="916" t="e">
        <f t="shared" si="15"/>
        <v>#VALUE!</v>
      </c>
      <c r="L124" s="917" t="e">
        <f t="shared" si="16"/>
        <v>#VALUE!</v>
      </c>
      <c r="M124" s="917" t="e">
        <f t="shared" si="17"/>
        <v>#VALUE!</v>
      </c>
      <c r="N124" s="918" t="e">
        <f t="shared" si="18"/>
        <v>#VALUE!</v>
      </c>
      <c r="O124" s="919"/>
    </row>
    <row r="125" spans="1:15" x14ac:dyDescent="0.2">
      <c r="A125" s="920">
        <v>116</v>
      </c>
      <c r="B125" s="921">
        <v>47849</v>
      </c>
      <c r="C125" s="916" t="e">
        <f t="shared" si="11"/>
        <v>#VALUE!</v>
      </c>
      <c r="D125" s="917" t="e">
        <f t="shared" si="12"/>
        <v>#VALUE!</v>
      </c>
      <c r="E125" s="917" t="e">
        <f t="shared" si="13"/>
        <v>#VALUE!</v>
      </c>
      <c r="F125" s="918" t="e">
        <f t="shared" si="14"/>
        <v>#VALUE!</v>
      </c>
      <c r="G125" s="919"/>
      <c r="H125" s="835"/>
      <c r="I125" s="920">
        <v>116</v>
      </c>
      <c r="J125" s="921">
        <v>47849</v>
      </c>
      <c r="K125" s="916" t="e">
        <f t="shared" si="15"/>
        <v>#VALUE!</v>
      </c>
      <c r="L125" s="917" t="e">
        <f t="shared" si="16"/>
        <v>#VALUE!</v>
      </c>
      <c r="M125" s="917" t="e">
        <f t="shared" si="17"/>
        <v>#VALUE!</v>
      </c>
      <c r="N125" s="918" t="e">
        <f t="shared" si="18"/>
        <v>#VALUE!</v>
      </c>
      <c r="O125" s="919"/>
    </row>
    <row r="126" spans="1:15" x14ac:dyDescent="0.2">
      <c r="A126" s="920">
        <v>117</v>
      </c>
      <c r="B126" s="921">
        <v>47880</v>
      </c>
      <c r="C126" s="916" t="e">
        <f t="shared" si="11"/>
        <v>#VALUE!</v>
      </c>
      <c r="D126" s="917" t="e">
        <f t="shared" si="12"/>
        <v>#VALUE!</v>
      </c>
      <c r="E126" s="917" t="e">
        <f t="shared" si="13"/>
        <v>#VALUE!</v>
      </c>
      <c r="F126" s="918" t="e">
        <f t="shared" si="14"/>
        <v>#VALUE!</v>
      </c>
      <c r="G126" s="919"/>
      <c r="H126" s="835"/>
      <c r="I126" s="920">
        <v>117</v>
      </c>
      <c r="J126" s="921">
        <v>47880</v>
      </c>
      <c r="K126" s="916" t="e">
        <f t="shared" si="15"/>
        <v>#VALUE!</v>
      </c>
      <c r="L126" s="917" t="e">
        <f t="shared" si="16"/>
        <v>#VALUE!</v>
      </c>
      <c r="M126" s="917" t="e">
        <f t="shared" si="17"/>
        <v>#VALUE!</v>
      </c>
      <c r="N126" s="918" t="e">
        <f t="shared" si="18"/>
        <v>#VALUE!</v>
      </c>
      <c r="O126" s="919"/>
    </row>
    <row r="127" spans="1:15" x14ac:dyDescent="0.2">
      <c r="A127" s="920">
        <v>118</v>
      </c>
      <c r="B127" s="921">
        <v>47908</v>
      </c>
      <c r="C127" s="916" t="e">
        <f t="shared" si="11"/>
        <v>#VALUE!</v>
      </c>
      <c r="D127" s="917" t="e">
        <f t="shared" si="12"/>
        <v>#VALUE!</v>
      </c>
      <c r="E127" s="917" t="e">
        <f t="shared" si="13"/>
        <v>#VALUE!</v>
      </c>
      <c r="F127" s="918" t="e">
        <f t="shared" si="14"/>
        <v>#VALUE!</v>
      </c>
      <c r="G127" s="919"/>
      <c r="H127" s="835"/>
      <c r="I127" s="920">
        <v>118</v>
      </c>
      <c r="J127" s="921">
        <v>47908</v>
      </c>
      <c r="K127" s="916" t="e">
        <f t="shared" si="15"/>
        <v>#VALUE!</v>
      </c>
      <c r="L127" s="917" t="e">
        <f t="shared" si="16"/>
        <v>#VALUE!</v>
      </c>
      <c r="M127" s="917" t="e">
        <f t="shared" si="17"/>
        <v>#VALUE!</v>
      </c>
      <c r="N127" s="918" t="e">
        <f t="shared" si="18"/>
        <v>#VALUE!</v>
      </c>
      <c r="O127" s="919"/>
    </row>
    <row r="128" spans="1:15" x14ac:dyDescent="0.2">
      <c r="A128" s="920">
        <v>119</v>
      </c>
      <c r="B128" s="921">
        <v>47939</v>
      </c>
      <c r="C128" s="916" t="e">
        <f t="shared" si="11"/>
        <v>#VALUE!</v>
      </c>
      <c r="D128" s="917" t="e">
        <f t="shared" si="12"/>
        <v>#VALUE!</v>
      </c>
      <c r="E128" s="917" t="e">
        <f t="shared" si="13"/>
        <v>#VALUE!</v>
      </c>
      <c r="F128" s="918" t="e">
        <f t="shared" si="14"/>
        <v>#VALUE!</v>
      </c>
      <c r="G128" s="919"/>
      <c r="H128" s="835"/>
      <c r="I128" s="920">
        <v>119</v>
      </c>
      <c r="J128" s="921">
        <v>47939</v>
      </c>
      <c r="K128" s="916" t="e">
        <f t="shared" si="15"/>
        <v>#VALUE!</v>
      </c>
      <c r="L128" s="917" t="e">
        <f t="shared" si="16"/>
        <v>#VALUE!</v>
      </c>
      <c r="M128" s="917" t="e">
        <f t="shared" si="17"/>
        <v>#VALUE!</v>
      </c>
      <c r="N128" s="918" t="e">
        <f t="shared" si="18"/>
        <v>#VALUE!</v>
      </c>
      <c r="O128" s="919"/>
    </row>
    <row r="129" spans="1:15" ht="15" thickBot="1" x14ac:dyDescent="0.25">
      <c r="A129" s="920">
        <v>120</v>
      </c>
      <c r="B129" s="921">
        <v>47969</v>
      </c>
      <c r="C129" s="931" t="e">
        <f t="shared" si="11"/>
        <v>#VALUE!</v>
      </c>
      <c r="D129" s="932" t="e">
        <f t="shared" si="12"/>
        <v>#VALUE!</v>
      </c>
      <c r="E129" s="932" t="e">
        <f t="shared" si="13"/>
        <v>#VALUE!</v>
      </c>
      <c r="F129" s="933" t="e">
        <f t="shared" si="14"/>
        <v>#VALUE!</v>
      </c>
      <c r="G129" s="1036"/>
      <c r="H129" s="835"/>
      <c r="I129" s="920">
        <v>120</v>
      </c>
      <c r="J129" s="921">
        <v>47969</v>
      </c>
      <c r="K129" s="931" t="e">
        <f t="shared" si="15"/>
        <v>#VALUE!</v>
      </c>
      <c r="L129" s="932" t="e">
        <f t="shared" si="16"/>
        <v>#VALUE!</v>
      </c>
      <c r="M129" s="932" t="e">
        <f t="shared" si="17"/>
        <v>#VALUE!</v>
      </c>
      <c r="N129" s="933" t="e">
        <f t="shared" si="18"/>
        <v>#VALUE!</v>
      </c>
      <c r="O129" s="1036"/>
    </row>
    <row r="130" spans="1:15" x14ac:dyDescent="0.2">
      <c r="A130" s="934">
        <v>121</v>
      </c>
      <c r="B130" s="935">
        <v>48000</v>
      </c>
      <c r="C130" s="936" t="e">
        <f t="shared" si="11"/>
        <v>#VALUE!</v>
      </c>
      <c r="D130" s="937" t="e">
        <f t="shared" si="12"/>
        <v>#VALUE!</v>
      </c>
      <c r="E130" s="937" t="e">
        <f t="shared" si="13"/>
        <v>#VALUE!</v>
      </c>
      <c r="F130" s="938" t="e">
        <f t="shared" si="14"/>
        <v>#VALUE!</v>
      </c>
      <c r="G130" s="1038" t="e">
        <f>$G$8*AVERAGE(C130:C141)</f>
        <v>#VALUE!</v>
      </c>
      <c r="H130" s="835"/>
      <c r="I130" s="934">
        <v>121</v>
      </c>
      <c r="J130" s="935">
        <v>48000</v>
      </c>
      <c r="K130" s="936" t="e">
        <f t="shared" si="15"/>
        <v>#VALUE!</v>
      </c>
      <c r="L130" s="937" t="e">
        <f t="shared" si="16"/>
        <v>#VALUE!</v>
      </c>
      <c r="M130" s="937" t="e">
        <f t="shared" si="17"/>
        <v>#VALUE!</v>
      </c>
      <c r="N130" s="938" t="e">
        <f t="shared" si="18"/>
        <v>#VALUE!</v>
      </c>
      <c r="O130" s="1038" t="e">
        <f>$G$8*AVERAGE(K130:K141)</f>
        <v>#VALUE!</v>
      </c>
    </row>
    <row r="131" spans="1:15" x14ac:dyDescent="0.2">
      <c r="A131" s="920">
        <v>122</v>
      </c>
      <c r="B131" s="921">
        <v>48030</v>
      </c>
      <c r="C131" s="916" t="e">
        <f t="shared" si="11"/>
        <v>#VALUE!</v>
      </c>
      <c r="D131" s="917" t="e">
        <f t="shared" si="12"/>
        <v>#VALUE!</v>
      </c>
      <c r="E131" s="917" t="e">
        <f t="shared" si="13"/>
        <v>#VALUE!</v>
      </c>
      <c r="F131" s="918" t="e">
        <f t="shared" si="14"/>
        <v>#VALUE!</v>
      </c>
      <c r="G131" s="919"/>
      <c r="H131" s="835"/>
      <c r="I131" s="920">
        <v>122</v>
      </c>
      <c r="J131" s="921">
        <v>48030</v>
      </c>
      <c r="K131" s="916" t="e">
        <f t="shared" si="15"/>
        <v>#VALUE!</v>
      </c>
      <c r="L131" s="917" t="e">
        <f t="shared" si="16"/>
        <v>#VALUE!</v>
      </c>
      <c r="M131" s="917" t="e">
        <f t="shared" si="17"/>
        <v>#VALUE!</v>
      </c>
      <c r="N131" s="918" t="e">
        <f t="shared" si="18"/>
        <v>#VALUE!</v>
      </c>
      <c r="O131" s="919"/>
    </row>
    <row r="132" spans="1:15" x14ac:dyDescent="0.2">
      <c r="A132" s="920">
        <v>123</v>
      </c>
      <c r="B132" s="921">
        <v>48061</v>
      </c>
      <c r="C132" s="916" t="e">
        <f t="shared" si="11"/>
        <v>#VALUE!</v>
      </c>
      <c r="D132" s="917" t="e">
        <f t="shared" si="12"/>
        <v>#VALUE!</v>
      </c>
      <c r="E132" s="917" t="e">
        <f t="shared" si="13"/>
        <v>#VALUE!</v>
      </c>
      <c r="F132" s="918" t="e">
        <f t="shared" si="14"/>
        <v>#VALUE!</v>
      </c>
      <c r="G132" s="919"/>
      <c r="H132" s="835"/>
      <c r="I132" s="920">
        <v>123</v>
      </c>
      <c r="J132" s="921">
        <v>48061</v>
      </c>
      <c r="K132" s="916" t="e">
        <f t="shared" si="15"/>
        <v>#VALUE!</v>
      </c>
      <c r="L132" s="917" t="e">
        <f t="shared" si="16"/>
        <v>#VALUE!</v>
      </c>
      <c r="M132" s="917" t="e">
        <f t="shared" si="17"/>
        <v>#VALUE!</v>
      </c>
      <c r="N132" s="918" t="e">
        <f t="shared" si="18"/>
        <v>#VALUE!</v>
      </c>
      <c r="O132" s="919"/>
    </row>
    <row r="133" spans="1:15" x14ac:dyDescent="0.2">
      <c r="A133" s="920">
        <v>124</v>
      </c>
      <c r="B133" s="921">
        <v>48092</v>
      </c>
      <c r="C133" s="916" t="e">
        <f t="shared" si="11"/>
        <v>#VALUE!</v>
      </c>
      <c r="D133" s="917" t="e">
        <f t="shared" si="12"/>
        <v>#VALUE!</v>
      </c>
      <c r="E133" s="917" t="e">
        <f t="shared" si="13"/>
        <v>#VALUE!</v>
      </c>
      <c r="F133" s="918" t="e">
        <f t="shared" si="14"/>
        <v>#VALUE!</v>
      </c>
      <c r="G133" s="919"/>
      <c r="H133" s="835"/>
      <c r="I133" s="920">
        <v>124</v>
      </c>
      <c r="J133" s="921">
        <v>48092</v>
      </c>
      <c r="K133" s="916" t="e">
        <f t="shared" si="15"/>
        <v>#VALUE!</v>
      </c>
      <c r="L133" s="917" t="e">
        <f t="shared" si="16"/>
        <v>#VALUE!</v>
      </c>
      <c r="M133" s="917" t="e">
        <f t="shared" si="17"/>
        <v>#VALUE!</v>
      </c>
      <c r="N133" s="918" t="e">
        <f t="shared" si="18"/>
        <v>#VALUE!</v>
      </c>
      <c r="O133" s="919"/>
    </row>
    <row r="134" spans="1:15" x14ac:dyDescent="0.2">
      <c r="A134" s="920">
        <v>125</v>
      </c>
      <c r="B134" s="921">
        <v>48122</v>
      </c>
      <c r="C134" s="916" t="e">
        <f t="shared" si="11"/>
        <v>#VALUE!</v>
      </c>
      <c r="D134" s="917" t="e">
        <f t="shared" si="12"/>
        <v>#VALUE!</v>
      </c>
      <c r="E134" s="917" t="e">
        <f t="shared" si="13"/>
        <v>#VALUE!</v>
      </c>
      <c r="F134" s="918" t="e">
        <f t="shared" si="14"/>
        <v>#VALUE!</v>
      </c>
      <c r="G134" s="919"/>
      <c r="H134" s="835"/>
      <c r="I134" s="920">
        <v>125</v>
      </c>
      <c r="J134" s="921">
        <v>48122</v>
      </c>
      <c r="K134" s="916" t="e">
        <f t="shared" si="15"/>
        <v>#VALUE!</v>
      </c>
      <c r="L134" s="917" t="e">
        <f t="shared" si="16"/>
        <v>#VALUE!</v>
      </c>
      <c r="M134" s="917" t="e">
        <f t="shared" si="17"/>
        <v>#VALUE!</v>
      </c>
      <c r="N134" s="918" t="e">
        <f t="shared" si="18"/>
        <v>#VALUE!</v>
      </c>
      <c r="O134" s="919"/>
    </row>
    <row r="135" spans="1:15" x14ac:dyDescent="0.2">
      <c r="A135" s="920">
        <v>126</v>
      </c>
      <c r="B135" s="921">
        <v>48153</v>
      </c>
      <c r="C135" s="916" t="e">
        <f t="shared" si="11"/>
        <v>#VALUE!</v>
      </c>
      <c r="D135" s="917" t="e">
        <f t="shared" si="12"/>
        <v>#VALUE!</v>
      </c>
      <c r="E135" s="917" t="e">
        <f t="shared" si="13"/>
        <v>#VALUE!</v>
      </c>
      <c r="F135" s="918" t="e">
        <f t="shared" si="14"/>
        <v>#VALUE!</v>
      </c>
      <c r="G135" s="919"/>
      <c r="H135" s="835"/>
      <c r="I135" s="920">
        <v>126</v>
      </c>
      <c r="J135" s="921">
        <v>48153</v>
      </c>
      <c r="K135" s="916" t="e">
        <f t="shared" si="15"/>
        <v>#VALUE!</v>
      </c>
      <c r="L135" s="917" t="e">
        <f t="shared" si="16"/>
        <v>#VALUE!</v>
      </c>
      <c r="M135" s="917" t="e">
        <f t="shared" si="17"/>
        <v>#VALUE!</v>
      </c>
      <c r="N135" s="918" t="e">
        <f t="shared" si="18"/>
        <v>#VALUE!</v>
      </c>
      <c r="O135" s="919"/>
    </row>
    <row r="136" spans="1:15" x14ac:dyDescent="0.2">
      <c r="A136" s="920">
        <v>127</v>
      </c>
      <c r="B136" s="921">
        <v>48183</v>
      </c>
      <c r="C136" s="916" t="e">
        <f t="shared" si="11"/>
        <v>#VALUE!</v>
      </c>
      <c r="D136" s="917" t="e">
        <f t="shared" si="12"/>
        <v>#VALUE!</v>
      </c>
      <c r="E136" s="917" t="e">
        <f t="shared" si="13"/>
        <v>#VALUE!</v>
      </c>
      <c r="F136" s="918" t="e">
        <f t="shared" si="14"/>
        <v>#VALUE!</v>
      </c>
      <c r="G136" s="919"/>
      <c r="H136" s="835"/>
      <c r="I136" s="920">
        <v>127</v>
      </c>
      <c r="J136" s="921">
        <v>48183</v>
      </c>
      <c r="K136" s="916" t="e">
        <f t="shared" si="15"/>
        <v>#VALUE!</v>
      </c>
      <c r="L136" s="917" t="e">
        <f t="shared" si="16"/>
        <v>#VALUE!</v>
      </c>
      <c r="M136" s="917" t="e">
        <f t="shared" si="17"/>
        <v>#VALUE!</v>
      </c>
      <c r="N136" s="918" t="e">
        <f t="shared" si="18"/>
        <v>#VALUE!</v>
      </c>
      <c r="O136" s="919"/>
    </row>
    <row r="137" spans="1:15" x14ac:dyDescent="0.2">
      <c r="A137" s="920">
        <v>128</v>
      </c>
      <c r="B137" s="921">
        <v>48214</v>
      </c>
      <c r="C137" s="916" t="e">
        <f t="shared" si="11"/>
        <v>#VALUE!</v>
      </c>
      <c r="D137" s="917" t="e">
        <f t="shared" si="12"/>
        <v>#VALUE!</v>
      </c>
      <c r="E137" s="917" t="e">
        <f t="shared" si="13"/>
        <v>#VALUE!</v>
      </c>
      <c r="F137" s="918" t="e">
        <f t="shared" si="14"/>
        <v>#VALUE!</v>
      </c>
      <c r="G137" s="919"/>
      <c r="H137" s="835"/>
      <c r="I137" s="920">
        <v>128</v>
      </c>
      <c r="J137" s="921">
        <v>48214</v>
      </c>
      <c r="K137" s="916" t="e">
        <f t="shared" si="15"/>
        <v>#VALUE!</v>
      </c>
      <c r="L137" s="917" t="e">
        <f t="shared" si="16"/>
        <v>#VALUE!</v>
      </c>
      <c r="M137" s="917" t="e">
        <f t="shared" si="17"/>
        <v>#VALUE!</v>
      </c>
      <c r="N137" s="918" t="e">
        <f t="shared" si="18"/>
        <v>#VALUE!</v>
      </c>
      <c r="O137" s="919"/>
    </row>
    <row r="138" spans="1:15" x14ac:dyDescent="0.2">
      <c r="A138" s="920">
        <v>129</v>
      </c>
      <c r="B138" s="921">
        <v>48245</v>
      </c>
      <c r="C138" s="916" t="e">
        <f t="shared" si="11"/>
        <v>#VALUE!</v>
      </c>
      <c r="D138" s="917" t="e">
        <f t="shared" si="12"/>
        <v>#VALUE!</v>
      </c>
      <c r="E138" s="917" t="e">
        <f t="shared" si="13"/>
        <v>#VALUE!</v>
      </c>
      <c r="F138" s="918" t="e">
        <f t="shared" si="14"/>
        <v>#VALUE!</v>
      </c>
      <c r="G138" s="919"/>
      <c r="H138" s="835"/>
      <c r="I138" s="920">
        <v>129</v>
      </c>
      <c r="J138" s="921">
        <v>48245</v>
      </c>
      <c r="K138" s="916" t="e">
        <f t="shared" si="15"/>
        <v>#VALUE!</v>
      </c>
      <c r="L138" s="917" t="e">
        <f t="shared" si="16"/>
        <v>#VALUE!</v>
      </c>
      <c r="M138" s="917" t="e">
        <f t="shared" si="17"/>
        <v>#VALUE!</v>
      </c>
      <c r="N138" s="918" t="e">
        <f t="shared" si="18"/>
        <v>#VALUE!</v>
      </c>
      <c r="O138" s="919"/>
    </row>
    <row r="139" spans="1:15" x14ac:dyDescent="0.2">
      <c r="A139" s="920">
        <v>130</v>
      </c>
      <c r="B139" s="921">
        <v>48274</v>
      </c>
      <c r="C139" s="916" t="e">
        <f t="shared" ref="C139:C202" si="19">C138-D139</f>
        <v>#VALUE!</v>
      </c>
      <c r="D139" s="917" t="e">
        <f t="shared" ref="D139:D202" si="20">-PPMT($C$4/12,A139,$F$4*$F$6,$C$3)</f>
        <v>#VALUE!</v>
      </c>
      <c r="E139" s="917" t="e">
        <f t="shared" ref="E139:E202" si="21">F139-D139</f>
        <v>#VALUE!</v>
      </c>
      <c r="F139" s="918" t="e">
        <f t="shared" ref="F139:F202" si="22">$F$3</f>
        <v>#VALUE!</v>
      </c>
      <c r="G139" s="919"/>
      <c r="H139" s="835"/>
      <c r="I139" s="920">
        <v>130</v>
      </c>
      <c r="J139" s="921">
        <v>48274</v>
      </c>
      <c r="K139" s="916" t="e">
        <f t="shared" ref="K139:K189" si="23">K138-L139</f>
        <v>#VALUE!</v>
      </c>
      <c r="L139" s="917" t="e">
        <f t="shared" ref="L139:L189" si="24">-PPMT($K$4/12,I139,$N$4*$N$6,$K$3)</f>
        <v>#VALUE!</v>
      </c>
      <c r="M139" s="917" t="e">
        <f t="shared" ref="M139:M189" si="25">N139-L139</f>
        <v>#VALUE!</v>
      </c>
      <c r="N139" s="918" t="e">
        <f t="shared" ref="N139:N189" si="26">$N$3</f>
        <v>#VALUE!</v>
      </c>
      <c r="O139" s="919"/>
    </row>
    <row r="140" spans="1:15" x14ac:dyDescent="0.2">
      <c r="A140" s="920">
        <v>131</v>
      </c>
      <c r="B140" s="921">
        <v>48305</v>
      </c>
      <c r="C140" s="916" t="e">
        <f t="shared" si="19"/>
        <v>#VALUE!</v>
      </c>
      <c r="D140" s="917" t="e">
        <f t="shared" si="20"/>
        <v>#VALUE!</v>
      </c>
      <c r="E140" s="917" t="e">
        <f t="shared" si="21"/>
        <v>#VALUE!</v>
      </c>
      <c r="F140" s="918" t="e">
        <f t="shared" si="22"/>
        <v>#VALUE!</v>
      </c>
      <c r="G140" s="919"/>
      <c r="H140" s="835"/>
      <c r="I140" s="920">
        <v>131</v>
      </c>
      <c r="J140" s="921">
        <v>48305</v>
      </c>
      <c r="K140" s="916" t="e">
        <f t="shared" si="23"/>
        <v>#VALUE!</v>
      </c>
      <c r="L140" s="917" t="e">
        <f t="shared" si="24"/>
        <v>#VALUE!</v>
      </c>
      <c r="M140" s="917" t="e">
        <f t="shared" si="25"/>
        <v>#VALUE!</v>
      </c>
      <c r="N140" s="918" t="e">
        <f t="shared" si="26"/>
        <v>#VALUE!</v>
      </c>
      <c r="O140" s="919"/>
    </row>
    <row r="141" spans="1:15" ht="15" thickBot="1" x14ac:dyDescent="0.25">
      <c r="A141" s="922">
        <v>132</v>
      </c>
      <c r="B141" s="923">
        <v>48335</v>
      </c>
      <c r="C141" s="924" t="e">
        <f t="shared" si="19"/>
        <v>#VALUE!</v>
      </c>
      <c r="D141" s="925" t="e">
        <f t="shared" si="20"/>
        <v>#VALUE!</v>
      </c>
      <c r="E141" s="925" t="e">
        <f t="shared" si="21"/>
        <v>#VALUE!</v>
      </c>
      <c r="F141" s="926" t="e">
        <f t="shared" si="22"/>
        <v>#VALUE!</v>
      </c>
      <c r="G141" s="927"/>
      <c r="H141" s="835"/>
      <c r="I141" s="922">
        <v>132</v>
      </c>
      <c r="J141" s="923">
        <v>48335</v>
      </c>
      <c r="K141" s="924" t="e">
        <f t="shared" si="23"/>
        <v>#VALUE!</v>
      </c>
      <c r="L141" s="925" t="e">
        <f t="shared" si="24"/>
        <v>#VALUE!</v>
      </c>
      <c r="M141" s="925" t="e">
        <f t="shared" si="25"/>
        <v>#VALUE!</v>
      </c>
      <c r="N141" s="926" t="e">
        <f t="shared" si="26"/>
        <v>#VALUE!</v>
      </c>
      <c r="O141" s="927"/>
    </row>
    <row r="142" spans="1:15" x14ac:dyDescent="0.2">
      <c r="A142" s="920">
        <v>133</v>
      </c>
      <c r="B142" s="921">
        <v>48366</v>
      </c>
      <c r="C142" s="928" t="e">
        <f t="shared" si="19"/>
        <v>#VALUE!</v>
      </c>
      <c r="D142" s="929" t="e">
        <f t="shared" si="20"/>
        <v>#VALUE!</v>
      </c>
      <c r="E142" s="929" t="e">
        <f t="shared" si="21"/>
        <v>#VALUE!</v>
      </c>
      <c r="F142" s="930" t="e">
        <f t="shared" si="22"/>
        <v>#VALUE!</v>
      </c>
      <c r="G142" s="1038" t="e">
        <f>$G$8*AVERAGE(C142:C153)</f>
        <v>#VALUE!</v>
      </c>
      <c r="H142" s="835"/>
      <c r="I142" s="920">
        <v>133</v>
      </c>
      <c r="J142" s="921">
        <v>48366</v>
      </c>
      <c r="K142" s="928" t="e">
        <f t="shared" si="23"/>
        <v>#VALUE!</v>
      </c>
      <c r="L142" s="929" t="e">
        <f t="shared" si="24"/>
        <v>#VALUE!</v>
      </c>
      <c r="M142" s="929" t="e">
        <f t="shared" si="25"/>
        <v>#VALUE!</v>
      </c>
      <c r="N142" s="930" t="e">
        <f t="shared" si="26"/>
        <v>#VALUE!</v>
      </c>
      <c r="O142" s="1038" t="e">
        <f>$G$8*AVERAGE(K142:K153)</f>
        <v>#VALUE!</v>
      </c>
    </row>
    <row r="143" spans="1:15" x14ac:dyDescent="0.2">
      <c r="A143" s="920">
        <v>134</v>
      </c>
      <c r="B143" s="921">
        <v>48396</v>
      </c>
      <c r="C143" s="916" t="e">
        <f t="shared" si="19"/>
        <v>#VALUE!</v>
      </c>
      <c r="D143" s="917" t="e">
        <f t="shared" si="20"/>
        <v>#VALUE!</v>
      </c>
      <c r="E143" s="917" t="e">
        <f t="shared" si="21"/>
        <v>#VALUE!</v>
      </c>
      <c r="F143" s="918" t="e">
        <f t="shared" si="22"/>
        <v>#VALUE!</v>
      </c>
      <c r="G143" s="919"/>
      <c r="H143" s="835"/>
      <c r="I143" s="920">
        <v>134</v>
      </c>
      <c r="J143" s="921">
        <v>48396</v>
      </c>
      <c r="K143" s="916" t="e">
        <f t="shared" si="23"/>
        <v>#VALUE!</v>
      </c>
      <c r="L143" s="917" t="e">
        <f t="shared" si="24"/>
        <v>#VALUE!</v>
      </c>
      <c r="M143" s="917" t="e">
        <f t="shared" si="25"/>
        <v>#VALUE!</v>
      </c>
      <c r="N143" s="918" t="e">
        <f t="shared" si="26"/>
        <v>#VALUE!</v>
      </c>
      <c r="O143" s="919"/>
    </row>
    <row r="144" spans="1:15" x14ac:dyDescent="0.2">
      <c r="A144" s="920">
        <v>135</v>
      </c>
      <c r="B144" s="921">
        <v>48427</v>
      </c>
      <c r="C144" s="916" t="e">
        <f t="shared" si="19"/>
        <v>#VALUE!</v>
      </c>
      <c r="D144" s="917" t="e">
        <f t="shared" si="20"/>
        <v>#VALUE!</v>
      </c>
      <c r="E144" s="917" t="e">
        <f t="shared" si="21"/>
        <v>#VALUE!</v>
      </c>
      <c r="F144" s="918" t="e">
        <f t="shared" si="22"/>
        <v>#VALUE!</v>
      </c>
      <c r="G144" s="919"/>
      <c r="H144" s="835"/>
      <c r="I144" s="920">
        <v>135</v>
      </c>
      <c r="J144" s="921">
        <v>48427</v>
      </c>
      <c r="K144" s="916" t="e">
        <f t="shared" si="23"/>
        <v>#VALUE!</v>
      </c>
      <c r="L144" s="917" t="e">
        <f t="shared" si="24"/>
        <v>#VALUE!</v>
      </c>
      <c r="M144" s="917" t="e">
        <f t="shared" si="25"/>
        <v>#VALUE!</v>
      </c>
      <c r="N144" s="918" t="e">
        <f t="shared" si="26"/>
        <v>#VALUE!</v>
      </c>
      <c r="O144" s="919"/>
    </row>
    <row r="145" spans="1:15" x14ac:dyDescent="0.2">
      <c r="A145" s="920">
        <v>136</v>
      </c>
      <c r="B145" s="921">
        <v>48458</v>
      </c>
      <c r="C145" s="916" t="e">
        <f t="shared" si="19"/>
        <v>#VALUE!</v>
      </c>
      <c r="D145" s="917" t="e">
        <f t="shared" si="20"/>
        <v>#VALUE!</v>
      </c>
      <c r="E145" s="917" t="e">
        <f t="shared" si="21"/>
        <v>#VALUE!</v>
      </c>
      <c r="F145" s="918" t="e">
        <f t="shared" si="22"/>
        <v>#VALUE!</v>
      </c>
      <c r="G145" s="919"/>
      <c r="H145" s="835"/>
      <c r="I145" s="920">
        <v>136</v>
      </c>
      <c r="J145" s="921">
        <v>48458</v>
      </c>
      <c r="K145" s="916" t="e">
        <f t="shared" si="23"/>
        <v>#VALUE!</v>
      </c>
      <c r="L145" s="917" t="e">
        <f t="shared" si="24"/>
        <v>#VALUE!</v>
      </c>
      <c r="M145" s="917" t="e">
        <f t="shared" si="25"/>
        <v>#VALUE!</v>
      </c>
      <c r="N145" s="918" t="e">
        <f t="shared" si="26"/>
        <v>#VALUE!</v>
      </c>
      <c r="O145" s="919"/>
    </row>
    <row r="146" spans="1:15" x14ac:dyDescent="0.2">
      <c r="A146" s="920">
        <v>137</v>
      </c>
      <c r="B146" s="921">
        <v>48488</v>
      </c>
      <c r="C146" s="916" t="e">
        <f t="shared" si="19"/>
        <v>#VALUE!</v>
      </c>
      <c r="D146" s="917" t="e">
        <f t="shared" si="20"/>
        <v>#VALUE!</v>
      </c>
      <c r="E146" s="917" t="e">
        <f t="shared" si="21"/>
        <v>#VALUE!</v>
      </c>
      <c r="F146" s="918" t="e">
        <f t="shared" si="22"/>
        <v>#VALUE!</v>
      </c>
      <c r="G146" s="919"/>
      <c r="H146" s="835"/>
      <c r="I146" s="920">
        <v>137</v>
      </c>
      <c r="J146" s="921">
        <v>48488</v>
      </c>
      <c r="K146" s="916" t="e">
        <f t="shared" si="23"/>
        <v>#VALUE!</v>
      </c>
      <c r="L146" s="917" t="e">
        <f t="shared" si="24"/>
        <v>#VALUE!</v>
      </c>
      <c r="M146" s="917" t="e">
        <f t="shared" si="25"/>
        <v>#VALUE!</v>
      </c>
      <c r="N146" s="918" t="e">
        <f t="shared" si="26"/>
        <v>#VALUE!</v>
      </c>
      <c r="O146" s="919"/>
    </row>
    <row r="147" spans="1:15" x14ac:dyDescent="0.2">
      <c r="A147" s="920">
        <v>138</v>
      </c>
      <c r="B147" s="921">
        <v>48519</v>
      </c>
      <c r="C147" s="916" t="e">
        <f t="shared" si="19"/>
        <v>#VALUE!</v>
      </c>
      <c r="D147" s="917" t="e">
        <f t="shared" si="20"/>
        <v>#VALUE!</v>
      </c>
      <c r="E147" s="917" t="e">
        <f t="shared" si="21"/>
        <v>#VALUE!</v>
      </c>
      <c r="F147" s="918" t="e">
        <f t="shared" si="22"/>
        <v>#VALUE!</v>
      </c>
      <c r="G147" s="919"/>
      <c r="H147" s="835"/>
      <c r="I147" s="920">
        <v>138</v>
      </c>
      <c r="J147" s="921">
        <v>48519</v>
      </c>
      <c r="K147" s="916" t="e">
        <f t="shared" si="23"/>
        <v>#VALUE!</v>
      </c>
      <c r="L147" s="917" t="e">
        <f t="shared" si="24"/>
        <v>#VALUE!</v>
      </c>
      <c r="M147" s="917" t="e">
        <f t="shared" si="25"/>
        <v>#VALUE!</v>
      </c>
      <c r="N147" s="918" t="e">
        <f t="shared" si="26"/>
        <v>#VALUE!</v>
      </c>
      <c r="O147" s="919"/>
    </row>
    <row r="148" spans="1:15" x14ac:dyDescent="0.2">
      <c r="A148" s="920">
        <v>139</v>
      </c>
      <c r="B148" s="921">
        <v>48549</v>
      </c>
      <c r="C148" s="916" t="e">
        <f t="shared" si="19"/>
        <v>#VALUE!</v>
      </c>
      <c r="D148" s="917" t="e">
        <f t="shared" si="20"/>
        <v>#VALUE!</v>
      </c>
      <c r="E148" s="917" t="e">
        <f t="shared" si="21"/>
        <v>#VALUE!</v>
      </c>
      <c r="F148" s="918" t="e">
        <f t="shared" si="22"/>
        <v>#VALUE!</v>
      </c>
      <c r="G148" s="919"/>
      <c r="H148" s="835"/>
      <c r="I148" s="920">
        <v>139</v>
      </c>
      <c r="J148" s="921">
        <v>48549</v>
      </c>
      <c r="K148" s="916" t="e">
        <f t="shared" si="23"/>
        <v>#VALUE!</v>
      </c>
      <c r="L148" s="917" t="e">
        <f t="shared" si="24"/>
        <v>#VALUE!</v>
      </c>
      <c r="M148" s="917" t="e">
        <f t="shared" si="25"/>
        <v>#VALUE!</v>
      </c>
      <c r="N148" s="918" t="e">
        <f t="shared" si="26"/>
        <v>#VALUE!</v>
      </c>
      <c r="O148" s="919"/>
    </row>
    <row r="149" spans="1:15" x14ac:dyDescent="0.2">
      <c r="A149" s="920">
        <v>140</v>
      </c>
      <c r="B149" s="921">
        <v>48580</v>
      </c>
      <c r="C149" s="916" t="e">
        <f t="shared" si="19"/>
        <v>#VALUE!</v>
      </c>
      <c r="D149" s="917" t="e">
        <f t="shared" si="20"/>
        <v>#VALUE!</v>
      </c>
      <c r="E149" s="917" t="e">
        <f t="shared" si="21"/>
        <v>#VALUE!</v>
      </c>
      <c r="F149" s="918" t="e">
        <f t="shared" si="22"/>
        <v>#VALUE!</v>
      </c>
      <c r="G149" s="919"/>
      <c r="H149" s="835"/>
      <c r="I149" s="920">
        <v>140</v>
      </c>
      <c r="J149" s="921">
        <v>48580</v>
      </c>
      <c r="K149" s="916" t="e">
        <f t="shared" si="23"/>
        <v>#VALUE!</v>
      </c>
      <c r="L149" s="917" t="e">
        <f t="shared" si="24"/>
        <v>#VALUE!</v>
      </c>
      <c r="M149" s="917" t="e">
        <f t="shared" si="25"/>
        <v>#VALUE!</v>
      </c>
      <c r="N149" s="918" t="e">
        <f t="shared" si="26"/>
        <v>#VALUE!</v>
      </c>
      <c r="O149" s="919"/>
    </row>
    <row r="150" spans="1:15" x14ac:dyDescent="0.2">
      <c r="A150" s="920">
        <v>141</v>
      </c>
      <c r="B150" s="921">
        <v>48611</v>
      </c>
      <c r="C150" s="916" t="e">
        <f t="shared" si="19"/>
        <v>#VALUE!</v>
      </c>
      <c r="D150" s="917" t="e">
        <f t="shared" si="20"/>
        <v>#VALUE!</v>
      </c>
      <c r="E150" s="917" t="e">
        <f t="shared" si="21"/>
        <v>#VALUE!</v>
      </c>
      <c r="F150" s="918" t="e">
        <f t="shared" si="22"/>
        <v>#VALUE!</v>
      </c>
      <c r="G150" s="919"/>
      <c r="H150" s="835"/>
      <c r="I150" s="920">
        <v>141</v>
      </c>
      <c r="J150" s="921">
        <v>48611</v>
      </c>
      <c r="K150" s="916" t="e">
        <f t="shared" si="23"/>
        <v>#VALUE!</v>
      </c>
      <c r="L150" s="917" t="e">
        <f t="shared" si="24"/>
        <v>#VALUE!</v>
      </c>
      <c r="M150" s="917" t="e">
        <f t="shared" si="25"/>
        <v>#VALUE!</v>
      </c>
      <c r="N150" s="918" t="e">
        <f t="shared" si="26"/>
        <v>#VALUE!</v>
      </c>
      <c r="O150" s="919"/>
    </row>
    <row r="151" spans="1:15" x14ac:dyDescent="0.2">
      <c r="A151" s="920">
        <v>142</v>
      </c>
      <c r="B151" s="921">
        <v>48639</v>
      </c>
      <c r="C151" s="916" t="e">
        <f t="shared" si="19"/>
        <v>#VALUE!</v>
      </c>
      <c r="D151" s="917" t="e">
        <f t="shared" si="20"/>
        <v>#VALUE!</v>
      </c>
      <c r="E151" s="917" t="e">
        <f t="shared" si="21"/>
        <v>#VALUE!</v>
      </c>
      <c r="F151" s="918" t="e">
        <f t="shared" si="22"/>
        <v>#VALUE!</v>
      </c>
      <c r="G151" s="919"/>
      <c r="H151" s="835"/>
      <c r="I151" s="920">
        <v>142</v>
      </c>
      <c r="J151" s="921">
        <v>48639</v>
      </c>
      <c r="K151" s="916" t="e">
        <f t="shared" si="23"/>
        <v>#VALUE!</v>
      </c>
      <c r="L151" s="917" t="e">
        <f t="shared" si="24"/>
        <v>#VALUE!</v>
      </c>
      <c r="M151" s="917" t="e">
        <f t="shared" si="25"/>
        <v>#VALUE!</v>
      </c>
      <c r="N151" s="918" t="e">
        <f t="shared" si="26"/>
        <v>#VALUE!</v>
      </c>
      <c r="O151" s="919"/>
    </row>
    <row r="152" spans="1:15" x14ac:dyDescent="0.2">
      <c r="A152" s="920">
        <v>143</v>
      </c>
      <c r="B152" s="921">
        <v>48670</v>
      </c>
      <c r="C152" s="916" t="e">
        <f t="shared" si="19"/>
        <v>#VALUE!</v>
      </c>
      <c r="D152" s="917" t="e">
        <f t="shared" si="20"/>
        <v>#VALUE!</v>
      </c>
      <c r="E152" s="917" t="e">
        <f t="shared" si="21"/>
        <v>#VALUE!</v>
      </c>
      <c r="F152" s="918" t="e">
        <f t="shared" si="22"/>
        <v>#VALUE!</v>
      </c>
      <c r="G152" s="919"/>
      <c r="H152" s="835"/>
      <c r="I152" s="920">
        <v>143</v>
      </c>
      <c r="J152" s="921">
        <v>48670</v>
      </c>
      <c r="K152" s="916" t="e">
        <f t="shared" si="23"/>
        <v>#VALUE!</v>
      </c>
      <c r="L152" s="917" t="e">
        <f t="shared" si="24"/>
        <v>#VALUE!</v>
      </c>
      <c r="M152" s="917" t="e">
        <f t="shared" si="25"/>
        <v>#VALUE!</v>
      </c>
      <c r="N152" s="918" t="e">
        <f t="shared" si="26"/>
        <v>#VALUE!</v>
      </c>
      <c r="O152" s="919"/>
    </row>
    <row r="153" spans="1:15" ht="15" thickBot="1" x14ac:dyDescent="0.25">
      <c r="A153" s="920">
        <v>144</v>
      </c>
      <c r="B153" s="921">
        <v>48700</v>
      </c>
      <c r="C153" s="931" t="e">
        <f t="shared" si="19"/>
        <v>#VALUE!</v>
      </c>
      <c r="D153" s="932" t="e">
        <f t="shared" si="20"/>
        <v>#VALUE!</v>
      </c>
      <c r="E153" s="932" t="e">
        <f t="shared" si="21"/>
        <v>#VALUE!</v>
      </c>
      <c r="F153" s="933" t="e">
        <f t="shared" si="22"/>
        <v>#VALUE!</v>
      </c>
      <c r="G153" s="1036"/>
      <c r="H153" s="835"/>
      <c r="I153" s="920">
        <v>144</v>
      </c>
      <c r="J153" s="921">
        <v>48700</v>
      </c>
      <c r="K153" s="931" t="e">
        <f t="shared" si="23"/>
        <v>#VALUE!</v>
      </c>
      <c r="L153" s="932" t="e">
        <f t="shared" si="24"/>
        <v>#VALUE!</v>
      </c>
      <c r="M153" s="932" t="e">
        <f t="shared" si="25"/>
        <v>#VALUE!</v>
      </c>
      <c r="N153" s="933" t="e">
        <f t="shared" si="26"/>
        <v>#VALUE!</v>
      </c>
      <c r="O153" s="1036"/>
    </row>
    <row r="154" spans="1:15" x14ac:dyDescent="0.2">
      <c r="A154" s="934">
        <v>145</v>
      </c>
      <c r="B154" s="935">
        <v>48731</v>
      </c>
      <c r="C154" s="936" t="e">
        <f t="shared" si="19"/>
        <v>#VALUE!</v>
      </c>
      <c r="D154" s="937" t="e">
        <f t="shared" si="20"/>
        <v>#VALUE!</v>
      </c>
      <c r="E154" s="937" t="e">
        <f t="shared" si="21"/>
        <v>#VALUE!</v>
      </c>
      <c r="F154" s="938" t="e">
        <f t="shared" si="22"/>
        <v>#VALUE!</v>
      </c>
      <c r="G154" s="1038" t="e">
        <f>$G$8*AVERAGE(C154:C165)</f>
        <v>#VALUE!</v>
      </c>
      <c r="H154" s="835"/>
      <c r="I154" s="934">
        <v>145</v>
      </c>
      <c r="J154" s="935">
        <v>48731</v>
      </c>
      <c r="K154" s="936" t="e">
        <f t="shared" si="23"/>
        <v>#VALUE!</v>
      </c>
      <c r="L154" s="937" t="e">
        <f t="shared" si="24"/>
        <v>#VALUE!</v>
      </c>
      <c r="M154" s="937" t="e">
        <f t="shared" si="25"/>
        <v>#VALUE!</v>
      </c>
      <c r="N154" s="938" t="e">
        <f t="shared" si="26"/>
        <v>#VALUE!</v>
      </c>
      <c r="O154" s="1038" t="e">
        <f>$G$8*AVERAGE(K154:K165)</f>
        <v>#VALUE!</v>
      </c>
    </row>
    <row r="155" spans="1:15" x14ac:dyDescent="0.2">
      <c r="A155" s="920">
        <v>146</v>
      </c>
      <c r="B155" s="921">
        <v>48761</v>
      </c>
      <c r="C155" s="916" t="e">
        <f t="shared" si="19"/>
        <v>#VALUE!</v>
      </c>
      <c r="D155" s="917" t="e">
        <f t="shared" si="20"/>
        <v>#VALUE!</v>
      </c>
      <c r="E155" s="917" t="e">
        <f t="shared" si="21"/>
        <v>#VALUE!</v>
      </c>
      <c r="F155" s="918" t="e">
        <f t="shared" si="22"/>
        <v>#VALUE!</v>
      </c>
      <c r="G155" s="919"/>
      <c r="H155" s="835"/>
      <c r="I155" s="920">
        <v>146</v>
      </c>
      <c r="J155" s="921">
        <v>48761</v>
      </c>
      <c r="K155" s="916" t="e">
        <f t="shared" si="23"/>
        <v>#VALUE!</v>
      </c>
      <c r="L155" s="917" t="e">
        <f t="shared" si="24"/>
        <v>#VALUE!</v>
      </c>
      <c r="M155" s="917" t="e">
        <f t="shared" si="25"/>
        <v>#VALUE!</v>
      </c>
      <c r="N155" s="918" t="e">
        <f t="shared" si="26"/>
        <v>#VALUE!</v>
      </c>
      <c r="O155" s="919"/>
    </row>
    <row r="156" spans="1:15" x14ac:dyDescent="0.2">
      <c r="A156" s="920">
        <v>147</v>
      </c>
      <c r="B156" s="921">
        <v>48792</v>
      </c>
      <c r="C156" s="916" t="e">
        <f t="shared" si="19"/>
        <v>#VALUE!</v>
      </c>
      <c r="D156" s="917" t="e">
        <f t="shared" si="20"/>
        <v>#VALUE!</v>
      </c>
      <c r="E156" s="917" t="e">
        <f t="shared" si="21"/>
        <v>#VALUE!</v>
      </c>
      <c r="F156" s="918" t="e">
        <f t="shared" si="22"/>
        <v>#VALUE!</v>
      </c>
      <c r="G156" s="919"/>
      <c r="H156" s="835"/>
      <c r="I156" s="920">
        <v>147</v>
      </c>
      <c r="J156" s="921">
        <v>48792</v>
      </c>
      <c r="K156" s="916" t="e">
        <f t="shared" si="23"/>
        <v>#VALUE!</v>
      </c>
      <c r="L156" s="917" t="e">
        <f t="shared" si="24"/>
        <v>#VALUE!</v>
      </c>
      <c r="M156" s="917" t="e">
        <f t="shared" si="25"/>
        <v>#VALUE!</v>
      </c>
      <c r="N156" s="918" t="e">
        <f t="shared" si="26"/>
        <v>#VALUE!</v>
      </c>
      <c r="O156" s="919"/>
    </row>
    <row r="157" spans="1:15" x14ac:dyDescent="0.2">
      <c r="A157" s="920">
        <v>148</v>
      </c>
      <c r="B157" s="921">
        <v>48823</v>
      </c>
      <c r="C157" s="916" t="e">
        <f t="shared" si="19"/>
        <v>#VALUE!</v>
      </c>
      <c r="D157" s="917" t="e">
        <f t="shared" si="20"/>
        <v>#VALUE!</v>
      </c>
      <c r="E157" s="917" t="e">
        <f t="shared" si="21"/>
        <v>#VALUE!</v>
      </c>
      <c r="F157" s="918" t="e">
        <f t="shared" si="22"/>
        <v>#VALUE!</v>
      </c>
      <c r="G157" s="919"/>
      <c r="H157" s="835"/>
      <c r="I157" s="920">
        <v>148</v>
      </c>
      <c r="J157" s="921">
        <v>48823</v>
      </c>
      <c r="K157" s="916" t="e">
        <f t="shared" si="23"/>
        <v>#VALUE!</v>
      </c>
      <c r="L157" s="917" t="e">
        <f t="shared" si="24"/>
        <v>#VALUE!</v>
      </c>
      <c r="M157" s="917" t="e">
        <f t="shared" si="25"/>
        <v>#VALUE!</v>
      </c>
      <c r="N157" s="918" t="e">
        <f t="shared" si="26"/>
        <v>#VALUE!</v>
      </c>
      <c r="O157" s="919"/>
    </row>
    <row r="158" spans="1:15" x14ac:dyDescent="0.2">
      <c r="A158" s="920">
        <v>149</v>
      </c>
      <c r="B158" s="921">
        <v>48853</v>
      </c>
      <c r="C158" s="916" t="e">
        <f t="shared" si="19"/>
        <v>#VALUE!</v>
      </c>
      <c r="D158" s="917" t="e">
        <f t="shared" si="20"/>
        <v>#VALUE!</v>
      </c>
      <c r="E158" s="917" t="e">
        <f t="shared" si="21"/>
        <v>#VALUE!</v>
      </c>
      <c r="F158" s="918" t="e">
        <f t="shared" si="22"/>
        <v>#VALUE!</v>
      </c>
      <c r="G158" s="919"/>
      <c r="H158" s="835"/>
      <c r="I158" s="920">
        <v>149</v>
      </c>
      <c r="J158" s="921">
        <v>48853</v>
      </c>
      <c r="K158" s="916" t="e">
        <f t="shared" si="23"/>
        <v>#VALUE!</v>
      </c>
      <c r="L158" s="917" t="e">
        <f t="shared" si="24"/>
        <v>#VALUE!</v>
      </c>
      <c r="M158" s="917" t="e">
        <f t="shared" si="25"/>
        <v>#VALUE!</v>
      </c>
      <c r="N158" s="918" t="e">
        <f t="shared" si="26"/>
        <v>#VALUE!</v>
      </c>
      <c r="O158" s="919"/>
    </row>
    <row r="159" spans="1:15" x14ac:dyDescent="0.2">
      <c r="A159" s="920">
        <v>150</v>
      </c>
      <c r="B159" s="921">
        <v>48884</v>
      </c>
      <c r="C159" s="916" t="e">
        <f t="shared" si="19"/>
        <v>#VALUE!</v>
      </c>
      <c r="D159" s="917" t="e">
        <f t="shared" si="20"/>
        <v>#VALUE!</v>
      </c>
      <c r="E159" s="917" t="e">
        <f t="shared" si="21"/>
        <v>#VALUE!</v>
      </c>
      <c r="F159" s="918" t="e">
        <f t="shared" si="22"/>
        <v>#VALUE!</v>
      </c>
      <c r="G159" s="919"/>
      <c r="H159" s="835"/>
      <c r="I159" s="920">
        <v>150</v>
      </c>
      <c r="J159" s="921">
        <v>48884</v>
      </c>
      <c r="K159" s="916" t="e">
        <f t="shared" si="23"/>
        <v>#VALUE!</v>
      </c>
      <c r="L159" s="917" t="e">
        <f t="shared" si="24"/>
        <v>#VALUE!</v>
      </c>
      <c r="M159" s="917" t="e">
        <f t="shared" si="25"/>
        <v>#VALUE!</v>
      </c>
      <c r="N159" s="918" t="e">
        <f t="shared" si="26"/>
        <v>#VALUE!</v>
      </c>
      <c r="O159" s="919"/>
    </row>
    <row r="160" spans="1:15" x14ac:dyDescent="0.2">
      <c r="A160" s="920">
        <v>151</v>
      </c>
      <c r="B160" s="921">
        <v>48914</v>
      </c>
      <c r="C160" s="916" t="e">
        <f t="shared" si="19"/>
        <v>#VALUE!</v>
      </c>
      <c r="D160" s="917" t="e">
        <f t="shared" si="20"/>
        <v>#VALUE!</v>
      </c>
      <c r="E160" s="917" t="e">
        <f t="shared" si="21"/>
        <v>#VALUE!</v>
      </c>
      <c r="F160" s="918" t="e">
        <f t="shared" si="22"/>
        <v>#VALUE!</v>
      </c>
      <c r="G160" s="919"/>
      <c r="H160" s="835"/>
      <c r="I160" s="920">
        <v>151</v>
      </c>
      <c r="J160" s="921">
        <v>48914</v>
      </c>
      <c r="K160" s="916" t="e">
        <f t="shared" si="23"/>
        <v>#VALUE!</v>
      </c>
      <c r="L160" s="917" t="e">
        <f t="shared" si="24"/>
        <v>#VALUE!</v>
      </c>
      <c r="M160" s="917" t="e">
        <f t="shared" si="25"/>
        <v>#VALUE!</v>
      </c>
      <c r="N160" s="918" t="e">
        <f t="shared" si="26"/>
        <v>#VALUE!</v>
      </c>
      <c r="O160" s="919"/>
    </row>
    <row r="161" spans="1:15" x14ac:dyDescent="0.2">
      <c r="A161" s="920">
        <v>152</v>
      </c>
      <c r="B161" s="921">
        <v>48945</v>
      </c>
      <c r="C161" s="916" t="e">
        <f t="shared" si="19"/>
        <v>#VALUE!</v>
      </c>
      <c r="D161" s="917" t="e">
        <f t="shared" si="20"/>
        <v>#VALUE!</v>
      </c>
      <c r="E161" s="917" t="e">
        <f t="shared" si="21"/>
        <v>#VALUE!</v>
      </c>
      <c r="F161" s="918" t="e">
        <f t="shared" si="22"/>
        <v>#VALUE!</v>
      </c>
      <c r="G161" s="919"/>
      <c r="H161" s="835"/>
      <c r="I161" s="920">
        <v>152</v>
      </c>
      <c r="J161" s="921">
        <v>48945</v>
      </c>
      <c r="K161" s="916" t="e">
        <f t="shared" si="23"/>
        <v>#VALUE!</v>
      </c>
      <c r="L161" s="917" t="e">
        <f t="shared" si="24"/>
        <v>#VALUE!</v>
      </c>
      <c r="M161" s="917" t="e">
        <f t="shared" si="25"/>
        <v>#VALUE!</v>
      </c>
      <c r="N161" s="918" t="e">
        <f t="shared" si="26"/>
        <v>#VALUE!</v>
      </c>
      <c r="O161" s="919"/>
    </row>
    <row r="162" spans="1:15" x14ac:dyDescent="0.2">
      <c r="A162" s="920">
        <v>153</v>
      </c>
      <c r="B162" s="921">
        <v>48976</v>
      </c>
      <c r="C162" s="916" t="e">
        <f t="shared" si="19"/>
        <v>#VALUE!</v>
      </c>
      <c r="D162" s="917" t="e">
        <f t="shared" si="20"/>
        <v>#VALUE!</v>
      </c>
      <c r="E162" s="917" t="e">
        <f t="shared" si="21"/>
        <v>#VALUE!</v>
      </c>
      <c r="F162" s="918" t="e">
        <f t="shared" si="22"/>
        <v>#VALUE!</v>
      </c>
      <c r="G162" s="919"/>
      <c r="H162" s="835"/>
      <c r="I162" s="920">
        <v>153</v>
      </c>
      <c r="J162" s="921">
        <v>48976</v>
      </c>
      <c r="K162" s="916" t="e">
        <f t="shared" si="23"/>
        <v>#VALUE!</v>
      </c>
      <c r="L162" s="917" t="e">
        <f t="shared" si="24"/>
        <v>#VALUE!</v>
      </c>
      <c r="M162" s="917" t="e">
        <f t="shared" si="25"/>
        <v>#VALUE!</v>
      </c>
      <c r="N162" s="918" t="e">
        <f t="shared" si="26"/>
        <v>#VALUE!</v>
      </c>
      <c r="O162" s="919"/>
    </row>
    <row r="163" spans="1:15" x14ac:dyDescent="0.2">
      <c r="A163" s="920">
        <v>154</v>
      </c>
      <c r="B163" s="921">
        <v>49004</v>
      </c>
      <c r="C163" s="916" t="e">
        <f t="shared" si="19"/>
        <v>#VALUE!</v>
      </c>
      <c r="D163" s="917" t="e">
        <f t="shared" si="20"/>
        <v>#VALUE!</v>
      </c>
      <c r="E163" s="917" t="e">
        <f t="shared" si="21"/>
        <v>#VALUE!</v>
      </c>
      <c r="F163" s="918" t="e">
        <f t="shared" si="22"/>
        <v>#VALUE!</v>
      </c>
      <c r="G163" s="919"/>
      <c r="H163" s="835"/>
      <c r="I163" s="920">
        <v>154</v>
      </c>
      <c r="J163" s="921">
        <v>49004</v>
      </c>
      <c r="K163" s="916" t="e">
        <f t="shared" si="23"/>
        <v>#VALUE!</v>
      </c>
      <c r="L163" s="917" t="e">
        <f t="shared" si="24"/>
        <v>#VALUE!</v>
      </c>
      <c r="M163" s="917" t="e">
        <f t="shared" si="25"/>
        <v>#VALUE!</v>
      </c>
      <c r="N163" s="918" t="e">
        <f t="shared" si="26"/>
        <v>#VALUE!</v>
      </c>
      <c r="O163" s="919"/>
    </row>
    <row r="164" spans="1:15" x14ac:dyDescent="0.2">
      <c r="A164" s="920">
        <v>155</v>
      </c>
      <c r="B164" s="921">
        <v>49035</v>
      </c>
      <c r="C164" s="916" t="e">
        <f t="shared" si="19"/>
        <v>#VALUE!</v>
      </c>
      <c r="D164" s="917" t="e">
        <f t="shared" si="20"/>
        <v>#VALUE!</v>
      </c>
      <c r="E164" s="917" t="e">
        <f t="shared" si="21"/>
        <v>#VALUE!</v>
      </c>
      <c r="F164" s="918" t="e">
        <f t="shared" si="22"/>
        <v>#VALUE!</v>
      </c>
      <c r="G164" s="919"/>
      <c r="H164" s="835"/>
      <c r="I164" s="920">
        <v>155</v>
      </c>
      <c r="J164" s="921">
        <v>49035</v>
      </c>
      <c r="K164" s="916" t="e">
        <f t="shared" si="23"/>
        <v>#VALUE!</v>
      </c>
      <c r="L164" s="917" t="e">
        <f t="shared" si="24"/>
        <v>#VALUE!</v>
      </c>
      <c r="M164" s="917" t="e">
        <f t="shared" si="25"/>
        <v>#VALUE!</v>
      </c>
      <c r="N164" s="918" t="e">
        <f t="shared" si="26"/>
        <v>#VALUE!</v>
      </c>
      <c r="O164" s="919"/>
    </row>
    <row r="165" spans="1:15" ht="15" thickBot="1" x14ac:dyDescent="0.25">
      <c r="A165" s="922">
        <v>156</v>
      </c>
      <c r="B165" s="923">
        <v>49065</v>
      </c>
      <c r="C165" s="924" t="e">
        <f t="shared" si="19"/>
        <v>#VALUE!</v>
      </c>
      <c r="D165" s="925" t="e">
        <f t="shared" si="20"/>
        <v>#VALUE!</v>
      </c>
      <c r="E165" s="925" t="e">
        <f t="shared" si="21"/>
        <v>#VALUE!</v>
      </c>
      <c r="F165" s="926" t="e">
        <f t="shared" si="22"/>
        <v>#VALUE!</v>
      </c>
      <c r="G165" s="927"/>
      <c r="H165" s="835"/>
      <c r="I165" s="922">
        <v>156</v>
      </c>
      <c r="J165" s="923">
        <v>49065</v>
      </c>
      <c r="K165" s="924" t="e">
        <f t="shared" si="23"/>
        <v>#VALUE!</v>
      </c>
      <c r="L165" s="925" t="e">
        <f t="shared" si="24"/>
        <v>#VALUE!</v>
      </c>
      <c r="M165" s="925" t="e">
        <f t="shared" si="25"/>
        <v>#VALUE!</v>
      </c>
      <c r="N165" s="926" t="e">
        <f t="shared" si="26"/>
        <v>#VALUE!</v>
      </c>
      <c r="O165" s="927"/>
    </row>
    <row r="166" spans="1:15" x14ac:dyDescent="0.2">
      <c r="A166" s="920">
        <v>157</v>
      </c>
      <c r="B166" s="921">
        <v>49096</v>
      </c>
      <c r="C166" s="928" t="e">
        <f t="shared" si="19"/>
        <v>#VALUE!</v>
      </c>
      <c r="D166" s="929" t="e">
        <f t="shared" si="20"/>
        <v>#VALUE!</v>
      </c>
      <c r="E166" s="929" t="e">
        <f t="shared" si="21"/>
        <v>#VALUE!</v>
      </c>
      <c r="F166" s="930" t="e">
        <f t="shared" si="22"/>
        <v>#VALUE!</v>
      </c>
      <c r="G166" s="1038" t="e">
        <f>$G$8*AVERAGE(C166:C177)</f>
        <v>#VALUE!</v>
      </c>
      <c r="H166" s="835"/>
      <c r="I166" s="920">
        <v>157</v>
      </c>
      <c r="J166" s="921">
        <v>49096</v>
      </c>
      <c r="K166" s="928" t="e">
        <f t="shared" si="23"/>
        <v>#VALUE!</v>
      </c>
      <c r="L166" s="929" t="e">
        <f t="shared" si="24"/>
        <v>#VALUE!</v>
      </c>
      <c r="M166" s="929" t="e">
        <f t="shared" si="25"/>
        <v>#VALUE!</v>
      </c>
      <c r="N166" s="930" t="e">
        <f t="shared" si="26"/>
        <v>#VALUE!</v>
      </c>
      <c r="O166" s="1038" t="e">
        <f>$G$8*AVERAGE(K166:K177)</f>
        <v>#VALUE!</v>
      </c>
    </row>
    <row r="167" spans="1:15" x14ac:dyDescent="0.2">
      <c r="A167" s="920">
        <v>158</v>
      </c>
      <c r="B167" s="921">
        <v>49126</v>
      </c>
      <c r="C167" s="916" t="e">
        <f t="shared" si="19"/>
        <v>#VALUE!</v>
      </c>
      <c r="D167" s="917" t="e">
        <f t="shared" si="20"/>
        <v>#VALUE!</v>
      </c>
      <c r="E167" s="917" t="e">
        <f t="shared" si="21"/>
        <v>#VALUE!</v>
      </c>
      <c r="F167" s="918" t="e">
        <f t="shared" si="22"/>
        <v>#VALUE!</v>
      </c>
      <c r="G167" s="919"/>
      <c r="H167" s="835"/>
      <c r="I167" s="920">
        <v>158</v>
      </c>
      <c r="J167" s="921">
        <v>49126</v>
      </c>
      <c r="K167" s="916" t="e">
        <f t="shared" si="23"/>
        <v>#VALUE!</v>
      </c>
      <c r="L167" s="917" t="e">
        <f t="shared" si="24"/>
        <v>#VALUE!</v>
      </c>
      <c r="M167" s="917" t="e">
        <f t="shared" si="25"/>
        <v>#VALUE!</v>
      </c>
      <c r="N167" s="918" t="e">
        <f t="shared" si="26"/>
        <v>#VALUE!</v>
      </c>
      <c r="O167" s="919"/>
    </row>
    <row r="168" spans="1:15" x14ac:dyDescent="0.2">
      <c r="A168" s="920">
        <v>159</v>
      </c>
      <c r="B168" s="921">
        <v>49157</v>
      </c>
      <c r="C168" s="916" t="e">
        <f t="shared" si="19"/>
        <v>#VALUE!</v>
      </c>
      <c r="D168" s="917" t="e">
        <f t="shared" si="20"/>
        <v>#VALUE!</v>
      </c>
      <c r="E168" s="917" t="e">
        <f t="shared" si="21"/>
        <v>#VALUE!</v>
      </c>
      <c r="F168" s="918" t="e">
        <f t="shared" si="22"/>
        <v>#VALUE!</v>
      </c>
      <c r="G168" s="919"/>
      <c r="H168" s="835"/>
      <c r="I168" s="920">
        <v>159</v>
      </c>
      <c r="J168" s="921">
        <v>49157</v>
      </c>
      <c r="K168" s="916" t="e">
        <f t="shared" si="23"/>
        <v>#VALUE!</v>
      </c>
      <c r="L168" s="917" t="e">
        <f t="shared" si="24"/>
        <v>#VALUE!</v>
      </c>
      <c r="M168" s="917" t="e">
        <f t="shared" si="25"/>
        <v>#VALUE!</v>
      </c>
      <c r="N168" s="918" t="e">
        <f t="shared" si="26"/>
        <v>#VALUE!</v>
      </c>
      <c r="O168" s="919"/>
    </row>
    <row r="169" spans="1:15" x14ac:dyDescent="0.2">
      <c r="A169" s="920">
        <v>160</v>
      </c>
      <c r="B169" s="921">
        <v>49188</v>
      </c>
      <c r="C169" s="916" t="e">
        <f t="shared" si="19"/>
        <v>#VALUE!</v>
      </c>
      <c r="D169" s="917" t="e">
        <f t="shared" si="20"/>
        <v>#VALUE!</v>
      </c>
      <c r="E169" s="917" t="e">
        <f t="shared" si="21"/>
        <v>#VALUE!</v>
      </c>
      <c r="F169" s="918" t="e">
        <f t="shared" si="22"/>
        <v>#VALUE!</v>
      </c>
      <c r="G169" s="919"/>
      <c r="H169" s="835"/>
      <c r="I169" s="920">
        <v>160</v>
      </c>
      <c r="J169" s="921">
        <v>49188</v>
      </c>
      <c r="K169" s="916" t="e">
        <f t="shared" si="23"/>
        <v>#VALUE!</v>
      </c>
      <c r="L169" s="917" t="e">
        <f t="shared" si="24"/>
        <v>#VALUE!</v>
      </c>
      <c r="M169" s="917" t="e">
        <f t="shared" si="25"/>
        <v>#VALUE!</v>
      </c>
      <c r="N169" s="918" t="e">
        <f t="shared" si="26"/>
        <v>#VALUE!</v>
      </c>
      <c r="O169" s="919"/>
    </row>
    <row r="170" spans="1:15" x14ac:dyDescent="0.2">
      <c r="A170" s="920">
        <v>161</v>
      </c>
      <c r="B170" s="921">
        <v>49218</v>
      </c>
      <c r="C170" s="916" t="e">
        <f t="shared" si="19"/>
        <v>#VALUE!</v>
      </c>
      <c r="D170" s="917" t="e">
        <f t="shared" si="20"/>
        <v>#VALUE!</v>
      </c>
      <c r="E170" s="917" t="e">
        <f t="shared" si="21"/>
        <v>#VALUE!</v>
      </c>
      <c r="F170" s="918" t="e">
        <f t="shared" si="22"/>
        <v>#VALUE!</v>
      </c>
      <c r="G170" s="919"/>
      <c r="H170" s="835"/>
      <c r="I170" s="920">
        <v>161</v>
      </c>
      <c r="J170" s="921">
        <v>49218</v>
      </c>
      <c r="K170" s="916" t="e">
        <f t="shared" si="23"/>
        <v>#VALUE!</v>
      </c>
      <c r="L170" s="917" t="e">
        <f t="shared" si="24"/>
        <v>#VALUE!</v>
      </c>
      <c r="M170" s="917" t="e">
        <f t="shared" si="25"/>
        <v>#VALUE!</v>
      </c>
      <c r="N170" s="918" t="e">
        <f t="shared" si="26"/>
        <v>#VALUE!</v>
      </c>
      <c r="O170" s="919"/>
    </row>
    <row r="171" spans="1:15" x14ac:dyDescent="0.2">
      <c r="A171" s="920">
        <v>162</v>
      </c>
      <c r="B171" s="921">
        <v>49249</v>
      </c>
      <c r="C171" s="916" t="e">
        <f t="shared" si="19"/>
        <v>#VALUE!</v>
      </c>
      <c r="D171" s="917" t="e">
        <f t="shared" si="20"/>
        <v>#VALUE!</v>
      </c>
      <c r="E171" s="917" t="e">
        <f t="shared" si="21"/>
        <v>#VALUE!</v>
      </c>
      <c r="F171" s="918" t="e">
        <f t="shared" si="22"/>
        <v>#VALUE!</v>
      </c>
      <c r="G171" s="919"/>
      <c r="H171" s="835"/>
      <c r="I171" s="920">
        <v>162</v>
      </c>
      <c r="J171" s="921">
        <v>49249</v>
      </c>
      <c r="K171" s="916" t="e">
        <f t="shared" si="23"/>
        <v>#VALUE!</v>
      </c>
      <c r="L171" s="917" t="e">
        <f t="shared" si="24"/>
        <v>#VALUE!</v>
      </c>
      <c r="M171" s="917" t="e">
        <f t="shared" si="25"/>
        <v>#VALUE!</v>
      </c>
      <c r="N171" s="918" t="e">
        <f t="shared" si="26"/>
        <v>#VALUE!</v>
      </c>
      <c r="O171" s="919"/>
    </row>
    <row r="172" spans="1:15" x14ac:dyDescent="0.2">
      <c r="A172" s="920">
        <v>163</v>
      </c>
      <c r="B172" s="921">
        <v>49279</v>
      </c>
      <c r="C172" s="916" t="e">
        <f t="shared" si="19"/>
        <v>#VALUE!</v>
      </c>
      <c r="D172" s="917" t="e">
        <f t="shared" si="20"/>
        <v>#VALUE!</v>
      </c>
      <c r="E172" s="917" t="e">
        <f t="shared" si="21"/>
        <v>#VALUE!</v>
      </c>
      <c r="F172" s="918" t="e">
        <f t="shared" si="22"/>
        <v>#VALUE!</v>
      </c>
      <c r="G172" s="919"/>
      <c r="H172" s="835"/>
      <c r="I172" s="920">
        <v>163</v>
      </c>
      <c r="J172" s="921">
        <v>49279</v>
      </c>
      <c r="K172" s="916" t="e">
        <f t="shared" si="23"/>
        <v>#VALUE!</v>
      </c>
      <c r="L172" s="917" t="e">
        <f t="shared" si="24"/>
        <v>#VALUE!</v>
      </c>
      <c r="M172" s="917" t="e">
        <f t="shared" si="25"/>
        <v>#VALUE!</v>
      </c>
      <c r="N172" s="918" t="e">
        <f t="shared" si="26"/>
        <v>#VALUE!</v>
      </c>
      <c r="O172" s="919"/>
    </row>
    <row r="173" spans="1:15" x14ac:dyDescent="0.2">
      <c r="A173" s="920">
        <v>164</v>
      </c>
      <c r="B173" s="921">
        <v>49310</v>
      </c>
      <c r="C173" s="916" t="e">
        <f t="shared" si="19"/>
        <v>#VALUE!</v>
      </c>
      <c r="D173" s="917" t="e">
        <f t="shared" si="20"/>
        <v>#VALUE!</v>
      </c>
      <c r="E173" s="917" t="e">
        <f t="shared" si="21"/>
        <v>#VALUE!</v>
      </c>
      <c r="F173" s="918" t="e">
        <f t="shared" si="22"/>
        <v>#VALUE!</v>
      </c>
      <c r="G173" s="919"/>
      <c r="H173" s="835"/>
      <c r="I173" s="920">
        <v>164</v>
      </c>
      <c r="J173" s="921">
        <v>49310</v>
      </c>
      <c r="K173" s="916" t="e">
        <f t="shared" si="23"/>
        <v>#VALUE!</v>
      </c>
      <c r="L173" s="917" t="e">
        <f t="shared" si="24"/>
        <v>#VALUE!</v>
      </c>
      <c r="M173" s="917" t="e">
        <f t="shared" si="25"/>
        <v>#VALUE!</v>
      </c>
      <c r="N173" s="918" t="e">
        <f t="shared" si="26"/>
        <v>#VALUE!</v>
      </c>
      <c r="O173" s="919"/>
    </row>
    <row r="174" spans="1:15" x14ac:dyDescent="0.2">
      <c r="A174" s="920">
        <v>165</v>
      </c>
      <c r="B174" s="921">
        <v>49341</v>
      </c>
      <c r="C174" s="916" t="e">
        <f t="shared" si="19"/>
        <v>#VALUE!</v>
      </c>
      <c r="D174" s="917" t="e">
        <f t="shared" si="20"/>
        <v>#VALUE!</v>
      </c>
      <c r="E174" s="917" t="e">
        <f t="shared" si="21"/>
        <v>#VALUE!</v>
      </c>
      <c r="F174" s="918" t="e">
        <f t="shared" si="22"/>
        <v>#VALUE!</v>
      </c>
      <c r="G174" s="919"/>
      <c r="H174" s="835"/>
      <c r="I174" s="920">
        <v>165</v>
      </c>
      <c r="J174" s="921">
        <v>49341</v>
      </c>
      <c r="K174" s="916" t="e">
        <f t="shared" si="23"/>
        <v>#VALUE!</v>
      </c>
      <c r="L174" s="917" t="e">
        <f t="shared" si="24"/>
        <v>#VALUE!</v>
      </c>
      <c r="M174" s="917" t="e">
        <f t="shared" si="25"/>
        <v>#VALUE!</v>
      </c>
      <c r="N174" s="918" t="e">
        <f t="shared" si="26"/>
        <v>#VALUE!</v>
      </c>
      <c r="O174" s="919"/>
    </row>
    <row r="175" spans="1:15" x14ac:dyDescent="0.2">
      <c r="A175" s="920">
        <v>166</v>
      </c>
      <c r="B175" s="921">
        <v>49369</v>
      </c>
      <c r="C175" s="916" t="e">
        <f t="shared" si="19"/>
        <v>#VALUE!</v>
      </c>
      <c r="D175" s="917" t="e">
        <f t="shared" si="20"/>
        <v>#VALUE!</v>
      </c>
      <c r="E175" s="917" t="e">
        <f t="shared" si="21"/>
        <v>#VALUE!</v>
      </c>
      <c r="F175" s="918" t="e">
        <f t="shared" si="22"/>
        <v>#VALUE!</v>
      </c>
      <c r="G175" s="919"/>
      <c r="H175" s="835"/>
      <c r="I175" s="920">
        <v>166</v>
      </c>
      <c r="J175" s="921">
        <v>49369</v>
      </c>
      <c r="K175" s="916" t="e">
        <f t="shared" si="23"/>
        <v>#VALUE!</v>
      </c>
      <c r="L175" s="917" t="e">
        <f t="shared" si="24"/>
        <v>#VALUE!</v>
      </c>
      <c r="M175" s="917" t="e">
        <f t="shared" si="25"/>
        <v>#VALUE!</v>
      </c>
      <c r="N175" s="918" t="e">
        <f t="shared" si="26"/>
        <v>#VALUE!</v>
      </c>
      <c r="O175" s="919"/>
    </row>
    <row r="176" spans="1:15" x14ac:dyDescent="0.2">
      <c r="A176" s="920">
        <v>167</v>
      </c>
      <c r="B176" s="921">
        <v>49400</v>
      </c>
      <c r="C176" s="916" t="e">
        <f t="shared" si="19"/>
        <v>#VALUE!</v>
      </c>
      <c r="D176" s="917" t="e">
        <f t="shared" si="20"/>
        <v>#VALUE!</v>
      </c>
      <c r="E176" s="917" t="e">
        <f t="shared" si="21"/>
        <v>#VALUE!</v>
      </c>
      <c r="F176" s="918" t="e">
        <f t="shared" si="22"/>
        <v>#VALUE!</v>
      </c>
      <c r="G176" s="919"/>
      <c r="H176" s="835"/>
      <c r="I176" s="920">
        <v>167</v>
      </c>
      <c r="J176" s="921">
        <v>49400</v>
      </c>
      <c r="K176" s="916" t="e">
        <f t="shared" si="23"/>
        <v>#VALUE!</v>
      </c>
      <c r="L176" s="917" t="e">
        <f t="shared" si="24"/>
        <v>#VALUE!</v>
      </c>
      <c r="M176" s="917" t="e">
        <f t="shared" si="25"/>
        <v>#VALUE!</v>
      </c>
      <c r="N176" s="918" t="e">
        <f t="shared" si="26"/>
        <v>#VALUE!</v>
      </c>
      <c r="O176" s="919"/>
    </row>
    <row r="177" spans="1:15" ht="15" thickBot="1" x14ac:dyDescent="0.25">
      <c r="A177" s="920">
        <v>168</v>
      </c>
      <c r="B177" s="921">
        <v>49430</v>
      </c>
      <c r="C177" s="931" t="e">
        <f t="shared" si="19"/>
        <v>#VALUE!</v>
      </c>
      <c r="D177" s="932" t="e">
        <f t="shared" si="20"/>
        <v>#VALUE!</v>
      </c>
      <c r="E177" s="932" t="e">
        <f t="shared" si="21"/>
        <v>#VALUE!</v>
      </c>
      <c r="F177" s="933" t="e">
        <f t="shared" si="22"/>
        <v>#VALUE!</v>
      </c>
      <c r="G177" s="1036"/>
      <c r="H177" s="835"/>
      <c r="I177" s="920">
        <v>168</v>
      </c>
      <c r="J177" s="921">
        <v>49430</v>
      </c>
      <c r="K177" s="931" t="e">
        <f t="shared" si="23"/>
        <v>#VALUE!</v>
      </c>
      <c r="L177" s="932" t="e">
        <f t="shared" si="24"/>
        <v>#VALUE!</v>
      </c>
      <c r="M177" s="932" t="e">
        <f t="shared" si="25"/>
        <v>#VALUE!</v>
      </c>
      <c r="N177" s="933" t="e">
        <f t="shared" si="26"/>
        <v>#VALUE!</v>
      </c>
      <c r="O177" s="1036"/>
    </row>
    <row r="178" spans="1:15" x14ac:dyDescent="0.2">
      <c r="A178" s="934">
        <v>169</v>
      </c>
      <c r="B178" s="935">
        <v>49461</v>
      </c>
      <c r="C178" s="936" t="e">
        <f t="shared" si="19"/>
        <v>#VALUE!</v>
      </c>
      <c r="D178" s="937" t="e">
        <f t="shared" si="20"/>
        <v>#VALUE!</v>
      </c>
      <c r="E178" s="937" t="e">
        <f t="shared" si="21"/>
        <v>#VALUE!</v>
      </c>
      <c r="F178" s="938" t="e">
        <f t="shared" si="22"/>
        <v>#VALUE!</v>
      </c>
      <c r="G178" s="1038" t="e">
        <f>$G$8*AVERAGE(C178:C189)</f>
        <v>#VALUE!</v>
      </c>
      <c r="H178" s="835"/>
      <c r="I178" s="934">
        <v>169</v>
      </c>
      <c r="J178" s="935">
        <v>49461</v>
      </c>
      <c r="K178" s="936" t="e">
        <f t="shared" si="23"/>
        <v>#VALUE!</v>
      </c>
      <c r="L178" s="937" t="e">
        <f t="shared" si="24"/>
        <v>#VALUE!</v>
      </c>
      <c r="M178" s="937" t="e">
        <f t="shared" si="25"/>
        <v>#VALUE!</v>
      </c>
      <c r="N178" s="938" t="e">
        <f t="shared" si="26"/>
        <v>#VALUE!</v>
      </c>
      <c r="O178" s="1038" t="e">
        <f>$G$8*AVERAGE(K178:K189)</f>
        <v>#VALUE!</v>
      </c>
    </row>
    <row r="179" spans="1:15" x14ac:dyDescent="0.2">
      <c r="A179" s="920">
        <v>170</v>
      </c>
      <c r="B179" s="921">
        <v>49491</v>
      </c>
      <c r="C179" s="916" t="e">
        <f t="shared" si="19"/>
        <v>#VALUE!</v>
      </c>
      <c r="D179" s="917" t="e">
        <f t="shared" si="20"/>
        <v>#VALUE!</v>
      </c>
      <c r="E179" s="917" t="e">
        <f t="shared" si="21"/>
        <v>#VALUE!</v>
      </c>
      <c r="F179" s="918" t="e">
        <f t="shared" si="22"/>
        <v>#VALUE!</v>
      </c>
      <c r="G179" s="919"/>
      <c r="H179" s="835"/>
      <c r="I179" s="920">
        <v>170</v>
      </c>
      <c r="J179" s="921">
        <v>49491</v>
      </c>
      <c r="K179" s="916" t="e">
        <f t="shared" si="23"/>
        <v>#VALUE!</v>
      </c>
      <c r="L179" s="917" t="e">
        <f t="shared" si="24"/>
        <v>#VALUE!</v>
      </c>
      <c r="M179" s="917" t="e">
        <f t="shared" si="25"/>
        <v>#VALUE!</v>
      </c>
      <c r="N179" s="918" t="e">
        <f t="shared" si="26"/>
        <v>#VALUE!</v>
      </c>
      <c r="O179" s="919"/>
    </row>
    <row r="180" spans="1:15" x14ac:dyDescent="0.2">
      <c r="A180" s="920">
        <v>171</v>
      </c>
      <c r="B180" s="921">
        <v>49522</v>
      </c>
      <c r="C180" s="916" t="e">
        <f t="shared" si="19"/>
        <v>#VALUE!</v>
      </c>
      <c r="D180" s="917" t="e">
        <f t="shared" si="20"/>
        <v>#VALUE!</v>
      </c>
      <c r="E180" s="917" t="e">
        <f t="shared" si="21"/>
        <v>#VALUE!</v>
      </c>
      <c r="F180" s="918" t="e">
        <f t="shared" si="22"/>
        <v>#VALUE!</v>
      </c>
      <c r="G180" s="919"/>
      <c r="H180" s="835"/>
      <c r="I180" s="920">
        <v>171</v>
      </c>
      <c r="J180" s="921">
        <v>49522</v>
      </c>
      <c r="K180" s="916" t="e">
        <f t="shared" si="23"/>
        <v>#VALUE!</v>
      </c>
      <c r="L180" s="917" t="e">
        <f t="shared" si="24"/>
        <v>#VALUE!</v>
      </c>
      <c r="M180" s="917" t="e">
        <f t="shared" si="25"/>
        <v>#VALUE!</v>
      </c>
      <c r="N180" s="918" t="e">
        <f t="shared" si="26"/>
        <v>#VALUE!</v>
      </c>
      <c r="O180" s="919"/>
    </row>
    <row r="181" spans="1:15" x14ac:dyDescent="0.2">
      <c r="A181" s="920">
        <v>172</v>
      </c>
      <c r="B181" s="921">
        <v>49553</v>
      </c>
      <c r="C181" s="916" t="e">
        <f t="shared" si="19"/>
        <v>#VALUE!</v>
      </c>
      <c r="D181" s="917" t="e">
        <f t="shared" si="20"/>
        <v>#VALUE!</v>
      </c>
      <c r="E181" s="917" t="e">
        <f t="shared" si="21"/>
        <v>#VALUE!</v>
      </c>
      <c r="F181" s="918" t="e">
        <f t="shared" si="22"/>
        <v>#VALUE!</v>
      </c>
      <c r="G181" s="919"/>
      <c r="H181" s="835"/>
      <c r="I181" s="920">
        <v>172</v>
      </c>
      <c r="J181" s="921">
        <v>49553</v>
      </c>
      <c r="K181" s="916" t="e">
        <f t="shared" si="23"/>
        <v>#VALUE!</v>
      </c>
      <c r="L181" s="917" t="e">
        <f t="shared" si="24"/>
        <v>#VALUE!</v>
      </c>
      <c r="M181" s="917" t="e">
        <f t="shared" si="25"/>
        <v>#VALUE!</v>
      </c>
      <c r="N181" s="918" t="e">
        <f t="shared" si="26"/>
        <v>#VALUE!</v>
      </c>
      <c r="O181" s="919"/>
    </row>
    <row r="182" spans="1:15" x14ac:dyDescent="0.2">
      <c r="A182" s="920">
        <v>173</v>
      </c>
      <c r="B182" s="921">
        <v>49583</v>
      </c>
      <c r="C182" s="916" t="e">
        <f t="shared" si="19"/>
        <v>#VALUE!</v>
      </c>
      <c r="D182" s="917" t="e">
        <f t="shared" si="20"/>
        <v>#VALUE!</v>
      </c>
      <c r="E182" s="917" t="e">
        <f t="shared" si="21"/>
        <v>#VALUE!</v>
      </c>
      <c r="F182" s="918" t="e">
        <f t="shared" si="22"/>
        <v>#VALUE!</v>
      </c>
      <c r="G182" s="919"/>
      <c r="H182" s="835"/>
      <c r="I182" s="920">
        <v>173</v>
      </c>
      <c r="J182" s="921">
        <v>49583</v>
      </c>
      <c r="K182" s="916" t="e">
        <f t="shared" si="23"/>
        <v>#VALUE!</v>
      </c>
      <c r="L182" s="917" t="e">
        <f t="shared" si="24"/>
        <v>#VALUE!</v>
      </c>
      <c r="M182" s="917" t="e">
        <f t="shared" si="25"/>
        <v>#VALUE!</v>
      </c>
      <c r="N182" s="918" t="e">
        <f t="shared" si="26"/>
        <v>#VALUE!</v>
      </c>
      <c r="O182" s="919"/>
    </row>
    <row r="183" spans="1:15" x14ac:dyDescent="0.2">
      <c r="A183" s="920">
        <v>174</v>
      </c>
      <c r="B183" s="921">
        <v>49614</v>
      </c>
      <c r="C183" s="916" t="e">
        <f t="shared" si="19"/>
        <v>#VALUE!</v>
      </c>
      <c r="D183" s="917" t="e">
        <f t="shared" si="20"/>
        <v>#VALUE!</v>
      </c>
      <c r="E183" s="917" t="e">
        <f t="shared" si="21"/>
        <v>#VALUE!</v>
      </c>
      <c r="F183" s="918" t="e">
        <f t="shared" si="22"/>
        <v>#VALUE!</v>
      </c>
      <c r="G183" s="919"/>
      <c r="H183" s="835"/>
      <c r="I183" s="920">
        <v>174</v>
      </c>
      <c r="J183" s="921">
        <v>49614</v>
      </c>
      <c r="K183" s="916" t="e">
        <f t="shared" si="23"/>
        <v>#VALUE!</v>
      </c>
      <c r="L183" s="917" t="e">
        <f t="shared" si="24"/>
        <v>#VALUE!</v>
      </c>
      <c r="M183" s="917" t="e">
        <f t="shared" si="25"/>
        <v>#VALUE!</v>
      </c>
      <c r="N183" s="918" t="e">
        <f t="shared" si="26"/>
        <v>#VALUE!</v>
      </c>
      <c r="O183" s="919"/>
    </row>
    <row r="184" spans="1:15" x14ac:dyDescent="0.2">
      <c r="A184" s="920">
        <v>175</v>
      </c>
      <c r="B184" s="921">
        <v>49644</v>
      </c>
      <c r="C184" s="916" t="e">
        <f t="shared" si="19"/>
        <v>#VALUE!</v>
      </c>
      <c r="D184" s="917" t="e">
        <f t="shared" si="20"/>
        <v>#VALUE!</v>
      </c>
      <c r="E184" s="917" t="e">
        <f t="shared" si="21"/>
        <v>#VALUE!</v>
      </c>
      <c r="F184" s="918" t="e">
        <f t="shared" si="22"/>
        <v>#VALUE!</v>
      </c>
      <c r="G184" s="919"/>
      <c r="H184" s="835"/>
      <c r="I184" s="920">
        <v>175</v>
      </c>
      <c r="J184" s="921">
        <v>49644</v>
      </c>
      <c r="K184" s="916" t="e">
        <f t="shared" si="23"/>
        <v>#VALUE!</v>
      </c>
      <c r="L184" s="917" t="e">
        <f t="shared" si="24"/>
        <v>#VALUE!</v>
      </c>
      <c r="M184" s="917" t="e">
        <f t="shared" si="25"/>
        <v>#VALUE!</v>
      </c>
      <c r="N184" s="918" t="e">
        <f t="shared" si="26"/>
        <v>#VALUE!</v>
      </c>
      <c r="O184" s="919"/>
    </row>
    <row r="185" spans="1:15" x14ac:dyDescent="0.2">
      <c r="A185" s="920">
        <v>176</v>
      </c>
      <c r="B185" s="921">
        <v>49675</v>
      </c>
      <c r="C185" s="916" t="e">
        <f t="shared" si="19"/>
        <v>#VALUE!</v>
      </c>
      <c r="D185" s="917" t="e">
        <f t="shared" si="20"/>
        <v>#VALUE!</v>
      </c>
      <c r="E185" s="917" t="e">
        <f t="shared" si="21"/>
        <v>#VALUE!</v>
      </c>
      <c r="F185" s="918" t="e">
        <f t="shared" si="22"/>
        <v>#VALUE!</v>
      </c>
      <c r="G185" s="919"/>
      <c r="H185" s="835"/>
      <c r="I185" s="920">
        <v>176</v>
      </c>
      <c r="J185" s="921">
        <v>49675</v>
      </c>
      <c r="K185" s="916" t="e">
        <f t="shared" si="23"/>
        <v>#VALUE!</v>
      </c>
      <c r="L185" s="917" t="e">
        <f t="shared" si="24"/>
        <v>#VALUE!</v>
      </c>
      <c r="M185" s="917" t="e">
        <f t="shared" si="25"/>
        <v>#VALUE!</v>
      </c>
      <c r="N185" s="918" t="e">
        <f t="shared" si="26"/>
        <v>#VALUE!</v>
      </c>
      <c r="O185" s="919"/>
    </row>
    <row r="186" spans="1:15" x14ac:dyDescent="0.2">
      <c r="A186" s="920">
        <v>177</v>
      </c>
      <c r="B186" s="921">
        <v>49706</v>
      </c>
      <c r="C186" s="916" t="e">
        <f t="shared" si="19"/>
        <v>#VALUE!</v>
      </c>
      <c r="D186" s="917" t="e">
        <f t="shared" si="20"/>
        <v>#VALUE!</v>
      </c>
      <c r="E186" s="917" t="e">
        <f t="shared" si="21"/>
        <v>#VALUE!</v>
      </c>
      <c r="F186" s="918" t="e">
        <f t="shared" si="22"/>
        <v>#VALUE!</v>
      </c>
      <c r="G186" s="919"/>
      <c r="H186" s="835"/>
      <c r="I186" s="920">
        <v>177</v>
      </c>
      <c r="J186" s="921">
        <v>49706</v>
      </c>
      <c r="K186" s="916" t="e">
        <f t="shared" si="23"/>
        <v>#VALUE!</v>
      </c>
      <c r="L186" s="917" t="e">
        <f t="shared" si="24"/>
        <v>#VALUE!</v>
      </c>
      <c r="M186" s="917" t="e">
        <f t="shared" si="25"/>
        <v>#VALUE!</v>
      </c>
      <c r="N186" s="918" t="e">
        <f t="shared" si="26"/>
        <v>#VALUE!</v>
      </c>
      <c r="O186" s="919"/>
    </row>
    <row r="187" spans="1:15" x14ac:dyDescent="0.2">
      <c r="A187" s="920">
        <v>178</v>
      </c>
      <c r="B187" s="921">
        <v>49735</v>
      </c>
      <c r="C187" s="916" t="e">
        <f t="shared" si="19"/>
        <v>#VALUE!</v>
      </c>
      <c r="D187" s="917" t="e">
        <f t="shared" si="20"/>
        <v>#VALUE!</v>
      </c>
      <c r="E187" s="917" t="e">
        <f t="shared" si="21"/>
        <v>#VALUE!</v>
      </c>
      <c r="F187" s="918" t="e">
        <f t="shared" si="22"/>
        <v>#VALUE!</v>
      </c>
      <c r="G187" s="919"/>
      <c r="H187" s="835"/>
      <c r="I187" s="920">
        <v>178</v>
      </c>
      <c r="J187" s="921">
        <v>49735</v>
      </c>
      <c r="K187" s="916" t="e">
        <f t="shared" si="23"/>
        <v>#VALUE!</v>
      </c>
      <c r="L187" s="917" t="e">
        <f t="shared" si="24"/>
        <v>#VALUE!</v>
      </c>
      <c r="M187" s="917" t="e">
        <f t="shared" si="25"/>
        <v>#VALUE!</v>
      </c>
      <c r="N187" s="918" t="e">
        <f t="shared" si="26"/>
        <v>#VALUE!</v>
      </c>
      <c r="O187" s="919"/>
    </row>
    <row r="188" spans="1:15" x14ac:dyDescent="0.2">
      <c r="A188" s="920">
        <v>179</v>
      </c>
      <c r="B188" s="921">
        <v>49766</v>
      </c>
      <c r="C188" s="916" t="e">
        <f t="shared" si="19"/>
        <v>#VALUE!</v>
      </c>
      <c r="D188" s="917" t="e">
        <f t="shared" si="20"/>
        <v>#VALUE!</v>
      </c>
      <c r="E188" s="917" t="e">
        <f t="shared" si="21"/>
        <v>#VALUE!</v>
      </c>
      <c r="F188" s="918" t="e">
        <f t="shared" si="22"/>
        <v>#VALUE!</v>
      </c>
      <c r="G188" s="919"/>
      <c r="H188" s="835"/>
      <c r="I188" s="920">
        <v>179</v>
      </c>
      <c r="J188" s="921">
        <v>49766</v>
      </c>
      <c r="K188" s="916" t="e">
        <f t="shared" si="23"/>
        <v>#VALUE!</v>
      </c>
      <c r="L188" s="917" t="e">
        <f t="shared" si="24"/>
        <v>#VALUE!</v>
      </c>
      <c r="M188" s="917" t="e">
        <f t="shared" si="25"/>
        <v>#VALUE!</v>
      </c>
      <c r="N188" s="918" t="e">
        <f t="shared" si="26"/>
        <v>#VALUE!</v>
      </c>
      <c r="O188" s="919"/>
    </row>
    <row r="189" spans="1:15" ht="15" thickBot="1" x14ac:dyDescent="0.25">
      <c r="A189" s="922">
        <v>180</v>
      </c>
      <c r="B189" s="923">
        <v>49796</v>
      </c>
      <c r="C189" s="924" t="e">
        <f t="shared" si="19"/>
        <v>#VALUE!</v>
      </c>
      <c r="D189" s="925" t="e">
        <f t="shared" si="20"/>
        <v>#VALUE!</v>
      </c>
      <c r="E189" s="925" t="e">
        <f t="shared" si="21"/>
        <v>#VALUE!</v>
      </c>
      <c r="F189" s="926" t="e">
        <f t="shared" si="22"/>
        <v>#VALUE!</v>
      </c>
      <c r="G189" s="927"/>
      <c r="H189" s="835"/>
      <c r="I189" s="922">
        <v>180</v>
      </c>
      <c r="J189" s="923">
        <v>49796</v>
      </c>
      <c r="K189" s="924" t="e">
        <f t="shared" si="23"/>
        <v>#VALUE!</v>
      </c>
      <c r="L189" s="925" t="e">
        <f t="shared" si="24"/>
        <v>#VALUE!</v>
      </c>
      <c r="M189" s="925" t="e">
        <f t="shared" si="25"/>
        <v>#VALUE!</v>
      </c>
      <c r="N189" s="926" t="e">
        <f t="shared" si="26"/>
        <v>#VALUE!</v>
      </c>
      <c r="O189" s="927"/>
    </row>
    <row r="190" spans="1:15" x14ac:dyDescent="0.2">
      <c r="A190" s="920">
        <v>181</v>
      </c>
      <c r="B190" s="921">
        <v>49827</v>
      </c>
      <c r="C190" s="928" t="e">
        <f t="shared" si="19"/>
        <v>#VALUE!</v>
      </c>
      <c r="D190" s="929" t="e">
        <f t="shared" si="20"/>
        <v>#VALUE!</v>
      </c>
      <c r="E190" s="929" t="e">
        <f t="shared" si="21"/>
        <v>#VALUE!</v>
      </c>
      <c r="F190" s="930" t="e">
        <f t="shared" si="22"/>
        <v>#VALUE!</v>
      </c>
      <c r="G190" s="1038" t="e">
        <f>$G$8*AVERAGE(C190:C201)</f>
        <v>#VALUE!</v>
      </c>
      <c r="H190" s="835"/>
    </row>
    <row r="191" spans="1:15" x14ac:dyDescent="0.2">
      <c r="A191" s="920">
        <v>182</v>
      </c>
      <c r="B191" s="921">
        <v>49857</v>
      </c>
      <c r="C191" s="916" t="e">
        <f t="shared" si="19"/>
        <v>#VALUE!</v>
      </c>
      <c r="D191" s="917" t="e">
        <f t="shared" si="20"/>
        <v>#VALUE!</v>
      </c>
      <c r="E191" s="917" t="e">
        <f t="shared" si="21"/>
        <v>#VALUE!</v>
      </c>
      <c r="F191" s="918" t="e">
        <f t="shared" si="22"/>
        <v>#VALUE!</v>
      </c>
      <c r="G191" s="919"/>
      <c r="H191" s="835"/>
    </row>
    <row r="192" spans="1:15" x14ac:dyDescent="0.2">
      <c r="A192" s="920">
        <v>183</v>
      </c>
      <c r="B192" s="921">
        <v>49888</v>
      </c>
      <c r="C192" s="916" t="e">
        <f t="shared" si="19"/>
        <v>#VALUE!</v>
      </c>
      <c r="D192" s="917" t="e">
        <f t="shared" si="20"/>
        <v>#VALUE!</v>
      </c>
      <c r="E192" s="917" t="e">
        <f t="shared" si="21"/>
        <v>#VALUE!</v>
      </c>
      <c r="F192" s="918" t="e">
        <f t="shared" si="22"/>
        <v>#VALUE!</v>
      </c>
      <c r="G192" s="919"/>
      <c r="H192" s="835"/>
    </row>
    <row r="193" spans="1:8" x14ac:dyDescent="0.2">
      <c r="A193" s="920">
        <v>184</v>
      </c>
      <c r="B193" s="921">
        <v>49919</v>
      </c>
      <c r="C193" s="916" t="e">
        <f t="shared" si="19"/>
        <v>#VALUE!</v>
      </c>
      <c r="D193" s="917" t="e">
        <f t="shared" si="20"/>
        <v>#VALUE!</v>
      </c>
      <c r="E193" s="917" t="e">
        <f t="shared" si="21"/>
        <v>#VALUE!</v>
      </c>
      <c r="F193" s="918" t="e">
        <f t="shared" si="22"/>
        <v>#VALUE!</v>
      </c>
      <c r="G193" s="919"/>
      <c r="H193" s="835"/>
    </row>
    <row r="194" spans="1:8" x14ac:dyDescent="0.2">
      <c r="A194" s="920">
        <v>185</v>
      </c>
      <c r="B194" s="921">
        <v>49949</v>
      </c>
      <c r="C194" s="916" t="e">
        <f t="shared" si="19"/>
        <v>#VALUE!</v>
      </c>
      <c r="D194" s="917" t="e">
        <f t="shared" si="20"/>
        <v>#VALUE!</v>
      </c>
      <c r="E194" s="917" t="e">
        <f t="shared" si="21"/>
        <v>#VALUE!</v>
      </c>
      <c r="F194" s="918" t="e">
        <f t="shared" si="22"/>
        <v>#VALUE!</v>
      </c>
      <c r="G194" s="919"/>
      <c r="H194" s="835"/>
    </row>
    <row r="195" spans="1:8" x14ac:dyDescent="0.2">
      <c r="A195" s="920">
        <v>186</v>
      </c>
      <c r="B195" s="921">
        <v>49980</v>
      </c>
      <c r="C195" s="916" t="e">
        <f t="shared" si="19"/>
        <v>#VALUE!</v>
      </c>
      <c r="D195" s="917" t="e">
        <f t="shared" si="20"/>
        <v>#VALUE!</v>
      </c>
      <c r="E195" s="917" t="e">
        <f t="shared" si="21"/>
        <v>#VALUE!</v>
      </c>
      <c r="F195" s="918" t="e">
        <f t="shared" si="22"/>
        <v>#VALUE!</v>
      </c>
      <c r="G195" s="919"/>
      <c r="H195" s="835"/>
    </row>
    <row r="196" spans="1:8" x14ac:dyDescent="0.2">
      <c r="A196" s="920">
        <v>187</v>
      </c>
      <c r="B196" s="921">
        <v>50010</v>
      </c>
      <c r="C196" s="916" t="e">
        <f t="shared" si="19"/>
        <v>#VALUE!</v>
      </c>
      <c r="D196" s="917" t="e">
        <f t="shared" si="20"/>
        <v>#VALUE!</v>
      </c>
      <c r="E196" s="917" t="e">
        <f t="shared" si="21"/>
        <v>#VALUE!</v>
      </c>
      <c r="F196" s="918" t="e">
        <f t="shared" si="22"/>
        <v>#VALUE!</v>
      </c>
      <c r="G196" s="919"/>
      <c r="H196" s="835"/>
    </row>
    <row r="197" spans="1:8" x14ac:dyDescent="0.2">
      <c r="A197" s="920">
        <v>188</v>
      </c>
      <c r="B197" s="921">
        <v>50041</v>
      </c>
      <c r="C197" s="916" t="e">
        <f t="shared" si="19"/>
        <v>#VALUE!</v>
      </c>
      <c r="D197" s="917" t="e">
        <f t="shared" si="20"/>
        <v>#VALUE!</v>
      </c>
      <c r="E197" s="917" t="e">
        <f t="shared" si="21"/>
        <v>#VALUE!</v>
      </c>
      <c r="F197" s="918" t="e">
        <f t="shared" si="22"/>
        <v>#VALUE!</v>
      </c>
      <c r="G197" s="919"/>
      <c r="H197" s="835"/>
    </row>
    <row r="198" spans="1:8" x14ac:dyDescent="0.2">
      <c r="A198" s="920">
        <v>189</v>
      </c>
      <c r="B198" s="921">
        <v>50072</v>
      </c>
      <c r="C198" s="916" t="e">
        <f t="shared" si="19"/>
        <v>#VALUE!</v>
      </c>
      <c r="D198" s="917" t="e">
        <f t="shared" si="20"/>
        <v>#VALUE!</v>
      </c>
      <c r="E198" s="917" t="e">
        <f t="shared" si="21"/>
        <v>#VALUE!</v>
      </c>
      <c r="F198" s="918" t="e">
        <f t="shared" si="22"/>
        <v>#VALUE!</v>
      </c>
      <c r="G198" s="919"/>
      <c r="H198" s="835"/>
    </row>
    <row r="199" spans="1:8" x14ac:dyDescent="0.2">
      <c r="A199" s="920">
        <v>190</v>
      </c>
      <c r="B199" s="921">
        <v>50100</v>
      </c>
      <c r="C199" s="916" t="e">
        <f t="shared" si="19"/>
        <v>#VALUE!</v>
      </c>
      <c r="D199" s="917" t="e">
        <f t="shared" si="20"/>
        <v>#VALUE!</v>
      </c>
      <c r="E199" s="917" t="e">
        <f t="shared" si="21"/>
        <v>#VALUE!</v>
      </c>
      <c r="F199" s="918" t="e">
        <f t="shared" si="22"/>
        <v>#VALUE!</v>
      </c>
      <c r="G199" s="919"/>
      <c r="H199" s="835"/>
    </row>
    <row r="200" spans="1:8" x14ac:dyDescent="0.2">
      <c r="A200" s="920">
        <v>191</v>
      </c>
      <c r="B200" s="921">
        <v>50131</v>
      </c>
      <c r="C200" s="916" t="e">
        <f t="shared" si="19"/>
        <v>#VALUE!</v>
      </c>
      <c r="D200" s="917" t="e">
        <f t="shared" si="20"/>
        <v>#VALUE!</v>
      </c>
      <c r="E200" s="917" t="e">
        <f t="shared" si="21"/>
        <v>#VALUE!</v>
      </c>
      <c r="F200" s="918" t="e">
        <f t="shared" si="22"/>
        <v>#VALUE!</v>
      </c>
      <c r="G200" s="919"/>
      <c r="H200" s="835"/>
    </row>
    <row r="201" spans="1:8" ht="15" thickBot="1" x14ac:dyDescent="0.25">
      <c r="A201" s="920">
        <v>192</v>
      </c>
      <c r="B201" s="921">
        <v>50161</v>
      </c>
      <c r="C201" s="931" t="e">
        <f t="shared" si="19"/>
        <v>#VALUE!</v>
      </c>
      <c r="D201" s="932" t="e">
        <f t="shared" si="20"/>
        <v>#VALUE!</v>
      </c>
      <c r="E201" s="932" t="e">
        <f t="shared" si="21"/>
        <v>#VALUE!</v>
      </c>
      <c r="F201" s="933" t="e">
        <f t="shared" si="22"/>
        <v>#VALUE!</v>
      </c>
      <c r="G201" s="1036"/>
      <c r="H201" s="835"/>
    </row>
    <row r="202" spans="1:8" x14ac:dyDescent="0.2">
      <c r="A202" s="934">
        <v>193</v>
      </c>
      <c r="B202" s="935">
        <v>50192</v>
      </c>
      <c r="C202" s="936" t="e">
        <f t="shared" si="19"/>
        <v>#VALUE!</v>
      </c>
      <c r="D202" s="937" t="e">
        <f t="shared" si="20"/>
        <v>#VALUE!</v>
      </c>
      <c r="E202" s="937" t="e">
        <f t="shared" si="21"/>
        <v>#VALUE!</v>
      </c>
      <c r="F202" s="938" t="e">
        <f t="shared" si="22"/>
        <v>#VALUE!</v>
      </c>
      <c r="G202" s="1038" t="e">
        <f>$G$8*AVERAGE(C202:C213)</f>
        <v>#VALUE!</v>
      </c>
      <c r="H202" s="835"/>
    </row>
    <row r="203" spans="1:8" x14ac:dyDescent="0.2">
      <c r="A203" s="920">
        <v>194</v>
      </c>
      <c r="B203" s="921">
        <v>50222</v>
      </c>
      <c r="C203" s="916" t="e">
        <f t="shared" ref="C203:C266" si="27">C202-D203</f>
        <v>#VALUE!</v>
      </c>
      <c r="D203" s="917" t="e">
        <f t="shared" ref="D203:D266" si="28">-PPMT($C$4/12,A203,$F$4*$F$6,$C$3)</f>
        <v>#VALUE!</v>
      </c>
      <c r="E203" s="917" t="e">
        <f t="shared" ref="E203:E266" si="29">F203-D203</f>
        <v>#VALUE!</v>
      </c>
      <c r="F203" s="918" t="e">
        <f t="shared" ref="F203:F266" si="30">$F$3</f>
        <v>#VALUE!</v>
      </c>
      <c r="G203" s="919"/>
      <c r="H203" s="835"/>
    </row>
    <row r="204" spans="1:8" x14ac:dyDescent="0.2">
      <c r="A204" s="920">
        <v>195</v>
      </c>
      <c r="B204" s="921">
        <v>50253</v>
      </c>
      <c r="C204" s="916" t="e">
        <f t="shared" si="27"/>
        <v>#VALUE!</v>
      </c>
      <c r="D204" s="917" t="e">
        <f t="shared" si="28"/>
        <v>#VALUE!</v>
      </c>
      <c r="E204" s="917" t="e">
        <f t="shared" si="29"/>
        <v>#VALUE!</v>
      </c>
      <c r="F204" s="918" t="e">
        <f t="shared" si="30"/>
        <v>#VALUE!</v>
      </c>
      <c r="G204" s="919"/>
      <c r="H204" s="835"/>
    </row>
    <row r="205" spans="1:8" x14ac:dyDescent="0.2">
      <c r="A205" s="920">
        <v>196</v>
      </c>
      <c r="B205" s="921">
        <v>50284</v>
      </c>
      <c r="C205" s="916" t="e">
        <f t="shared" si="27"/>
        <v>#VALUE!</v>
      </c>
      <c r="D205" s="917" t="e">
        <f t="shared" si="28"/>
        <v>#VALUE!</v>
      </c>
      <c r="E205" s="917" t="e">
        <f t="shared" si="29"/>
        <v>#VALUE!</v>
      </c>
      <c r="F205" s="918" t="e">
        <f t="shared" si="30"/>
        <v>#VALUE!</v>
      </c>
      <c r="G205" s="919"/>
      <c r="H205" s="835"/>
    </row>
    <row r="206" spans="1:8" x14ac:dyDescent="0.2">
      <c r="A206" s="920">
        <v>197</v>
      </c>
      <c r="B206" s="921">
        <v>50314</v>
      </c>
      <c r="C206" s="916" t="e">
        <f t="shared" si="27"/>
        <v>#VALUE!</v>
      </c>
      <c r="D206" s="917" t="e">
        <f t="shared" si="28"/>
        <v>#VALUE!</v>
      </c>
      <c r="E206" s="917" t="e">
        <f t="shared" si="29"/>
        <v>#VALUE!</v>
      </c>
      <c r="F206" s="918" t="e">
        <f t="shared" si="30"/>
        <v>#VALUE!</v>
      </c>
      <c r="G206" s="919"/>
      <c r="H206" s="835"/>
    </row>
    <row r="207" spans="1:8" x14ac:dyDescent="0.2">
      <c r="A207" s="920">
        <v>198</v>
      </c>
      <c r="B207" s="921">
        <v>50345</v>
      </c>
      <c r="C207" s="916" t="e">
        <f t="shared" si="27"/>
        <v>#VALUE!</v>
      </c>
      <c r="D207" s="917" t="e">
        <f t="shared" si="28"/>
        <v>#VALUE!</v>
      </c>
      <c r="E207" s="917" t="e">
        <f t="shared" si="29"/>
        <v>#VALUE!</v>
      </c>
      <c r="F207" s="918" t="e">
        <f t="shared" si="30"/>
        <v>#VALUE!</v>
      </c>
      <c r="G207" s="919"/>
      <c r="H207" s="835"/>
    </row>
    <row r="208" spans="1:8" x14ac:dyDescent="0.2">
      <c r="A208" s="920">
        <v>199</v>
      </c>
      <c r="B208" s="921">
        <v>50375</v>
      </c>
      <c r="C208" s="916" t="e">
        <f t="shared" si="27"/>
        <v>#VALUE!</v>
      </c>
      <c r="D208" s="917" t="e">
        <f t="shared" si="28"/>
        <v>#VALUE!</v>
      </c>
      <c r="E208" s="917" t="e">
        <f t="shared" si="29"/>
        <v>#VALUE!</v>
      </c>
      <c r="F208" s="918" t="e">
        <f t="shared" si="30"/>
        <v>#VALUE!</v>
      </c>
      <c r="G208" s="919"/>
      <c r="H208" s="835"/>
    </row>
    <row r="209" spans="1:7" x14ac:dyDescent="0.2">
      <c r="A209" s="920">
        <v>200</v>
      </c>
      <c r="B209" s="921">
        <v>50406</v>
      </c>
      <c r="C209" s="916" t="e">
        <f t="shared" si="27"/>
        <v>#VALUE!</v>
      </c>
      <c r="D209" s="917" t="e">
        <f t="shared" si="28"/>
        <v>#VALUE!</v>
      </c>
      <c r="E209" s="917" t="e">
        <f t="shared" si="29"/>
        <v>#VALUE!</v>
      </c>
      <c r="F209" s="918" t="e">
        <f t="shared" si="30"/>
        <v>#VALUE!</v>
      </c>
      <c r="G209" s="919"/>
    </row>
    <row r="210" spans="1:7" x14ac:dyDescent="0.2">
      <c r="A210" s="920">
        <v>201</v>
      </c>
      <c r="B210" s="921">
        <v>50437</v>
      </c>
      <c r="C210" s="916" t="e">
        <f t="shared" si="27"/>
        <v>#VALUE!</v>
      </c>
      <c r="D210" s="917" t="e">
        <f t="shared" si="28"/>
        <v>#VALUE!</v>
      </c>
      <c r="E210" s="917" t="e">
        <f t="shared" si="29"/>
        <v>#VALUE!</v>
      </c>
      <c r="F210" s="918" t="e">
        <f t="shared" si="30"/>
        <v>#VALUE!</v>
      </c>
      <c r="G210" s="919"/>
    </row>
    <row r="211" spans="1:7" x14ac:dyDescent="0.2">
      <c r="A211" s="920">
        <v>202</v>
      </c>
      <c r="B211" s="921">
        <v>50465</v>
      </c>
      <c r="C211" s="916" t="e">
        <f t="shared" si="27"/>
        <v>#VALUE!</v>
      </c>
      <c r="D211" s="917" t="e">
        <f t="shared" si="28"/>
        <v>#VALUE!</v>
      </c>
      <c r="E211" s="917" t="e">
        <f t="shared" si="29"/>
        <v>#VALUE!</v>
      </c>
      <c r="F211" s="918" t="e">
        <f t="shared" si="30"/>
        <v>#VALUE!</v>
      </c>
      <c r="G211" s="919"/>
    </row>
    <row r="212" spans="1:7" x14ac:dyDescent="0.2">
      <c r="A212" s="920">
        <v>203</v>
      </c>
      <c r="B212" s="921">
        <v>50496</v>
      </c>
      <c r="C212" s="916" t="e">
        <f t="shared" si="27"/>
        <v>#VALUE!</v>
      </c>
      <c r="D212" s="917" t="e">
        <f t="shared" si="28"/>
        <v>#VALUE!</v>
      </c>
      <c r="E212" s="917" t="e">
        <f t="shared" si="29"/>
        <v>#VALUE!</v>
      </c>
      <c r="F212" s="918" t="e">
        <f t="shared" si="30"/>
        <v>#VALUE!</v>
      </c>
      <c r="G212" s="919"/>
    </row>
    <row r="213" spans="1:7" ht="15" thickBot="1" x14ac:dyDescent="0.25">
      <c r="A213" s="922">
        <v>204</v>
      </c>
      <c r="B213" s="923">
        <v>50526</v>
      </c>
      <c r="C213" s="924" t="e">
        <f t="shared" si="27"/>
        <v>#VALUE!</v>
      </c>
      <c r="D213" s="925" t="e">
        <f t="shared" si="28"/>
        <v>#VALUE!</v>
      </c>
      <c r="E213" s="925" t="e">
        <f t="shared" si="29"/>
        <v>#VALUE!</v>
      </c>
      <c r="F213" s="926" t="e">
        <f t="shared" si="30"/>
        <v>#VALUE!</v>
      </c>
      <c r="G213" s="927"/>
    </row>
    <row r="214" spans="1:7" x14ac:dyDescent="0.2">
      <c r="A214" s="920">
        <v>205</v>
      </c>
      <c r="B214" s="921">
        <v>50557</v>
      </c>
      <c r="C214" s="928" t="e">
        <f t="shared" si="27"/>
        <v>#VALUE!</v>
      </c>
      <c r="D214" s="929" t="e">
        <f t="shared" si="28"/>
        <v>#VALUE!</v>
      </c>
      <c r="E214" s="929" t="e">
        <f t="shared" si="29"/>
        <v>#VALUE!</v>
      </c>
      <c r="F214" s="930" t="e">
        <f t="shared" si="30"/>
        <v>#VALUE!</v>
      </c>
      <c r="G214" s="919"/>
    </row>
    <row r="215" spans="1:7" x14ac:dyDescent="0.2">
      <c r="A215" s="920">
        <v>206</v>
      </c>
      <c r="B215" s="921">
        <v>50587</v>
      </c>
      <c r="C215" s="916" t="e">
        <f t="shared" si="27"/>
        <v>#VALUE!</v>
      </c>
      <c r="D215" s="917" t="e">
        <f t="shared" si="28"/>
        <v>#VALUE!</v>
      </c>
      <c r="E215" s="917" t="e">
        <f t="shared" si="29"/>
        <v>#VALUE!</v>
      </c>
      <c r="F215" s="918" t="e">
        <f t="shared" si="30"/>
        <v>#VALUE!</v>
      </c>
      <c r="G215" s="919"/>
    </row>
    <row r="216" spans="1:7" x14ac:dyDescent="0.2">
      <c r="A216" s="920">
        <v>207</v>
      </c>
      <c r="B216" s="921">
        <v>50618</v>
      </c>
      <c r="C216" s="916" t="e">
        <f t="shared" si="27"/>
        <v>#VALUE!</v>
      </c>
      <c r="D216" s="917" t="e">
        <f t="shared" si="28"/>
        <v>#VALUE!</v>
      </c>
      <c r="E216" s="917" t="e">
        <f t="shared" si="29"/>
        <v>#VALUE!</v>
      </c>
      <c r="F216" s="918" t="e">
        <f t="shared" si="30"/>
        <v>#VALUE!</v>
      </c>
      <c r="G216" s="919"/>
    </row>
    <row r="217" spans="1:7" x14ac:dyDescent="0.2">
      <c r="A217" s="920">
        <v>208</v>
      </c>
      <c r="B217" s="921">
        <v>50649</v>
      </c>
      <c r="C217" s="916" t="e">
        <f t="shared" si="27"/>
        <v>#VALUE!</v>
      </c>
      <c r="D217" s="917" t="e">
        <f t="shared" si="28"/>
        <v>#VALUE!</v>
      </c>
      <c r="E217" s="917" t="e">
        <f t="shared" si="29"/>
        <v>#VALUE!</v>
      </c>
      <c r="F217" s="918" t="e">
        <f t="shared" si="30"/>
        <v>#VALUE!</v>
      </c>
      <c r="G217" s="919"/>
    </row>
    <row r="218" spans="1:7" x14ac:dyDescent="0.2">
      <c r="A218" s="920">
        <v>209</v>
      </c>
      <c r="B218" s="921">
        <v>50679</v>
      </c>
      <c r="C218" s="916" t="e">
        <f t="shared" si="27"/>
        <v>#VALUE!</v>
      </c>
      <c r="D218" s="917" t="e">
        <f t="shared" si="28"/>
        <v>#VALUE!</v>
      </c>
      <c r="E218" s="917" t="e">
        <f t="shared" si="29"/>
        <v>#VALUE!</v>
      </c>
      <c r="F218" s="918" t="e">
        <f t="shared" si="30"/>
        <v>#VALUE!</v>
      </c>
      <c r="G218" s="919"/>
    </row>
    <row r="219" spans="1:7" x14ac:dyDescent="0.2">
      <c r="A219" s="920">
        <v>210</v>
      </c>
      <c r="B219" s="921">
        <v>50710</v>
      </c>
      <c r="C219" s="916" t="e">
        <f t="shared" si="27"/>
        <v>#VALUE!</v>
      </c>
      <c r="D219" s="917" t="e">
        <f t="shared" si="28"/>
        <v>#VALUE!</v>
      </c>
      <c r="E219" s="917" t="e">
        <f t="shared" si="29"/>
        <v>#VALUE!</v>
      </c>
      <c r="F219" s="918" t="e">
        <f t="shared" si="30"/>
        <v>#VALUE!</v>
      </c>
      <c r="G219" s="919"/>
    </row>
    <row r="220" spans="1:7" x14ac:dyDescent="0.2">
      <c r="A220" s="920">
        <v>211</v>
      </c>
      <c r="B220" s="921">
        <v>50740</v>
      </c>
      <c r="C220" s="916" t="e">
        <f t="shared" si="27"/>
        <v>#VALUE!</v>
      </c>
      <c r="D220" s="917" t="e">
        <f t="shared" si="28"/>
        <v>#VALUE!</v>
      </c>
      <c r="E220" s="917" t="e">
        <f t="shared" si="29"/>
        <v>#VALUE!</v>
      </c>
      <c r="F220" s="918" t="e">
        <f t="shared" si="30"/>
        <v>#VALUE!</v>
      </c>
      <c r="G220" s="919"/>
    </row>
    <row r="221" spans="1:7" x14ac:dyDescent="0.2">
      <c r="A221" s="920">
        <v>212</v>
      </c>
      <c r="B221" s="921">
        <v>50771</v>
      </c>
      <c r="C221" s="916" t="e">
        <f t="shared" si="27"/>
        <v>#VALUE!</v>
      </c>
      <c r="D221" s="917" t="e">
        <f t="shared" si="28"/>
        <v>#VALUE!</v>
      </c>
      <c r="E221" s="917" t="e">
        <f t="shared" si="29"/>
        <v>#VALUE!</v>
      </c>
      <c r="F221" s="918" t="e">
        <f t="shared" si="30"/>
        <v>#VALUE!</v>
      </c>
      <c r="G221" s="919"/>
    </row>
    <row r="222" spans="1:7" x14ac:dyDescent="0.2">
      <c r="A222" s="920">
        <v>213</v>
      </c>
      <c r="B222" s="921">
        <v>50802</v>
      </c>
      <c r="C222" s="916" t="e">
        <f t="shared" si="27"/>
        <v>#VALUE!</v>
      </c>
      <c r="D222" s="917" t="e">
        <f t="shared" si="28"/>
        <v>#VALUE!</v>
      </c>
      <c r="E222" s="917" t="e">
        <f t="shared" si="29"/>
        <v>#VALUE!</v>
      </c>
      <c r="F222" s="918" t="e">
        <f t="shared" si="30"/>
        <v>#VALUE!</v>
      </c>
      <c r="G222" s="919"/>
    </row>
    <row r="223" spans="1:7" x14ac:dyDescent="0.2">
      <c r="A223" s="920">
        <v>214</v>
      </c>
      <c r="B223" s="921">
        <v>50830</v>
      </c>
      <c r="C223" s="916" t="e">
        <f t="shared" si="27"/>
        <v>#VALUE!</v>
      </c>
      <c r="D223" s="917" t="e">
        <f t="shared" si="28"/>
        <v>#VALUE!</v>
      </c>
      <c r="E223" s="917" t="e">
        <f t="shared" si="29"/>
        <v>#VALUE!</v>
      </c>
      <c r="F223" s="918" t="e">
        <f t="shared" si="30"/>
        <v>#VALUE!</v>
      </c>
      <c r="G223" s="919"/>
    </row>
    <row r="224" spans="1:7" x14ac:dyDescent="0.2">
      <c r="A224" s="920">
        <v>215</v>
      </c>
      <c r="B224" s="921">
        <v>50861</v>
      </c>
      <c r="C224" s="916" t="e">
        <f t="shared" si="27"/>
        <v>#VALUE!</v>
      </c>
      <c r="D224" s="917" t="e">
        <f t="shared" si="28"/>
        <v>#VALUE!</v>
      </c>
      <c r="E224" s="917" t="e">
        <f t="shared" si="29"/>
        <v>#VALUE!</v>
      </c>
      <c r="F224" s="918" t="e">
        <f t="shared" si="30"/>
        <v>#VALUE!</v>
      </c>
      <c r="G224" s="919"/>
    </row>
    <row r="225" spans="1:7" ht="15" thickBot="1" x14ac:dyDescent="0.25">
      <c r="A225" s="922">
        <v>216</v>
      </c>
      <c r="B225" s="923">
        <v>50891</v>
      </c>
      <c r="C225" s="924" t="e">
        <f t="shared" si="27"/>
        <v>#VALUE!</v>
      </c>
      <c r="D225" s="925" t="e">
        <f t="shared" si="28"/>
        <v>#VALUE!</v>
      </c>
      <c r="E225" s="925" t="e">
        <f t="shared" si="29"/>
        <v>#VALUE!</v>
      </c>
      <c r="F225" s="926" t="e">
        <f t="shared" si="30"/>
        <v>#VALUE!</v>
      </c>
      <c r="G225" s="1036"/>
    </row>
    <row r="226" spans="1:7" x14ac:dyDescent="0.2">
      <c r="A226" s="920">
        <v>217</v>
      </c>
      <c r="B226" s="921">
        <v>50922</v>
      </c>
      <c r="C226" s="928" t="e">
        <f t="shared" si="27"/>
        <v>#VALUE!</v>
      </c>
      <c r="D226" s="929" t="e">
        <f t="shared" si="28"/>
        <v>#VALUE!</v>
      </c>
      <c r="E226" s="929" t="e">
        <f t="shared" si="29"/>
        <v>#VALUE!</v>
      </c>
      <c r="F226" s="930" t="e">
        <f t="shared" si="30"/>
        <v>#VALUE!</v>
      </c>
      <c r="G226" s="919"/>
    </row>
    <row r="227" spans="1:7" x14ac:dyDescent="0.2">
      <c r="A227" s="920">
        <v>218</v>
      </c>
      <c r="B227" s="921">
        <v>50952</v>
      </c>
      <c r="C227" s="916" t="e">
        <f t="shared" si="27"/>
        <v>#VALUE!</v>
      </c>
      <c r="D227" s="917" t="e">
        <f t="shared" si="28"/>
        <v>#VALUE!</v>
      </c>
      <c r="E227" s="917" t="e">
        <f t="shared" si="29"/>
        <v>#VALUE!</v>
      </c>
      <c r="F227" s="918" t="e">
        <f t="shared" si="30"/>
        <v>#VALUE!</v>
      </c>
      <c r="G227" s="919"/>
    </row>
    <row r="228" spans="1:7" x14ac:dyDescent="0.2">
      <c r="A228" s="920">
        <v>219</v>
      </c>
      <c r="B228" s="921">
        <v>50983</v>
      </c>
      <c r="C228" s="916" t="e">
        <f t="shared" si="27"/>
        <v>#VALUE!</v>
      </c>
      <c r="D228" s="917" t="e">
        <f t="shared" si="28"/>
        <v>#VALUE!</v>
      </c>
      <c r="E228" s="917" t="e">
        <f t="shared" si="29"/>
        <v>#VALUE!</v>
      </c>
      <c r="F228" s="918" t="e">
        <f t="shared" si="30"/>
        <v>#VALUE!</v>
      </c>
      <c r="G228" s="919"/>
    </row>
    <row r="229" spans="1:7" x14ac:dyDescent="0.2">
      <c r="A229" s="920">
        <v>220</v>
      </c>
      <c r="B229" s="921">
        <v>51014</v>
      </c>
      <c r="C229" s="916" t="e">
        <f t="shared" si="27"/>
        <v>#VALUE!</v>
      </c>
      <c r="D229" s="917" t="e">
        <f t="shared" si="28"/>
        <v>#VALUE!</v>
      </c>
      <c r="E229" s="917" t="e">
        <f t="shared" si="29"/>
        <v>#VALUE!</v>
      </c>
      <c r="F229" s="918" t="e">
        <f t="shared" si="30"/>
        <v>#VALUE!</v>
      </c>
      <c r="G229" s="919"/>
    </row>
    <row r="230" spans="1:7" x14ac:dyDescent="0.2">
      <c r="A230" s="920">
        <v>221</v>
      </c>
      <c r="B230" s="921">
        <v>51044</v>
      </c>
      <c r="C230" s="916" t="e">
        <f t="shared" si="27"/>
        <v>#VALUE!</v>
      </c>
      <c r="D230" s="917" t="e">
        <f t="shared" si="28"/>
        <v>#VALUE!</v>
      </c>
      <c r="E230" s="917" t="e">
        <f t="shared" si="29"/>
        <v>#VALUE!</v>
      </c>
      <c r="F230" s="918" t="e">
        <f t="shared" si="30"/>
        <v>#VALUE!</v>
      </c>
      <c r="G230" s="919"/>
    </row>
    <row r="231" spans="1:7" x14ac:dyDescent="0.2">
      <c r="A231" s="920">
        <v>222</v>
      </c>
      <c r="B231" s="921">
        <v>51075</v>
      </c>
      <c r="C231" s="916" t="e">
        <f t="shared" si="27"/>
        <v>#VALUE!</v>
      </c>
      <c r="D231" s="917" t="e">
        <f t="shared" si="28"/>
        <v>#VALUE!</v>
      </c>
      <c r="E231" s="917" t="e">
        <f t="shared" si="29"/>
        <v>#VALUE!</v>
      </c>
      <c r="F231" s="918" t="e">
        <f t="shared" si="30"/>
        <v>#VALUE!</v>
      </c>
      <c r="G231" s="919"/>
    </row>
    <row r="232" spans="1:7" x14ac:dyDescent="0.2">
      <c r="A232" s="920">
        <v>223</v>
      </c>
      <c r="B232" s="921">
        <v>51105</v>
      </c>
      <c r="C232" s="916" t="e">
        <f t="shared" si="27"/>
        <v>#VALUE!</v>
      </c>
      <c r="D232" s="917" t="e">
        <f t="shared" si="28"/>
        <v>#VALUE!</v>
      </c>
      <c r="E232" s="917" t="e">
        <f t="shared" si="29"/>
        <v>#VALUE!</v>
      </c>
      <c r="F232" s="918" t="e">
        <f t="shared" si="30"/>
        <v>#VALUE!</v>
      </c>
      <c r="G232" s="919"/>
    </row>
    <row r="233" spans="1:7" x14ac:dyDescent="0.2">
      <c r="A233" s="920">
        <v>224</v>
      </c>
      <c r="B233" s="921">
        <v>51136</v>
      </c>
      <c r="C233" s="916" t="e">
        <f t="shared" si="27"/>
        <v>#VALUE!</v>
      </c>
      <c r="D233" s="917" t="e">
        <f t="shared" si="28"/>
        <v>#VALUE!</v>
      </c>
      <c r="E233" s="917" t="e">
        <f t="shared" si="29"/>
        <v>#VALUE!</v>
      </c>
      <c r="F233" s="918" t="e">
        <f t="shared" si="30"/>
        <v>#VALUE!</v>
      </c>
      <c r="G233" s="919"/>
    </row>
    <row r="234" spans="1:7" x14ac:dyDescent="0.2">
      <c r="A234" s="920">
        <v>225</v>
      </c>
      <c r="B234" s="921">
        <v>51167</v>
      </c>
      <c r="C234" s="916" t="e">
        <f t="shared" si="27"/>
        <v>#VALUE!</v>
      </c>
      <c r="D234" s="917" t="e">
        <f t="shared" si="28"/>
        <v>#VALUE!</v>
      </c>
      <c r="E234" s="917" t="e">
        <f t="shared" si="29"/>
        <v>#VALUE!</v>
      </c>
      <c r="F234" s="918" t="e">
        <f t="shared" si="30"/>
        <v>#VALUE!</v>
      </c>
      <c r="G234" s="919"/>
    </row>
    <row r="235" spans="1:7" x14ac:dyDescent="0.2">
      <c r="A235" s="920">
        <v>226</v>
      </c>
      <c r="B235" s="921">
        <v>51196</v>
      </c>
      <c r="C235" s="916" t="e">
        <f t="shared" si="27"/>
        <v>#VALUE!</v>
      </c>
      <c r="D235" s="917" t="e">
        <f t="shared" si="28"/>
        <v>#VALUE!</v>
      </c>
      <c r="E235" s="917" t="e">
        <f t="shared" si="29"/>
        <v>#VALUE!</v>
      </c>
      <c r="F235" s="918" t="e">
        <f t="shared" si="30"/>
        <v>#VALUE!</v>
      </c>
      <c r="G235" s="919"/>
    </row>
    <row r="236" spans="1:7" x14ac:dyDescent="0.2">
      <c r="A236" s="920">
        <v>227</v>
      </c>
      <c r="B236" s="921">
        <v>51227</v>
      </c>
      <c r="C236" s="916" t="e">
        <f t="shared" si="27"/>
        <v>#VALUE!</v>
      </c>
      <c r="D236" s="917" t="e">
        <f t="shared" si="28"/>
        <v>#VALUE!</v>
      </c>
      <c r="E236" s="917" t="e">
        <f t="shared" si="29"/>
        <v>#VALUE!</v>
      </c>
      <c r="F236" s="918" t="e">
        <f t="shared" si="30"/>
        <v>#VALUE!</v>
      </c>
      <c r="G236" s="919"/>
    </row>
    <row r="237" spans="1:7" ht="15" thickBot="1" x14ac:dyDescent="0.25">
      <c r="A237" s="920">
        <v>228</v>
      </c>
      <c r="B237" s="921">
        <v>51257</v>
      </c>
      <c r="C237" s="931" t="e">
        <f t="shared" si="27"/>
        <v>#VALUE!</v>
      </c>
      <c r="D237" s="932" t="e">
        <f t="shared" si="28"/>
        <v>#VALUE!</v>
      </c>
      <c r="E237" s="932" t="e">
        <f t="shared" si="29"/>
        <v>#VALUE!</v>
      </c>
      <c r="F237" s="933" t="e">
        <f t="shared" si="30"/>
        <v>#VALUE!</v>
      </c>
      <c r="G237" s="1036"/>
    </row>
    <row r="238" spans="1:7" x14ac:dyDescent="0.2">
      <c r="A238" s="934">
        <v>229</v>
      </c>
      <c r="B238" s="935">
        <v>51288</v>
      </c>
      <c r="C238" s="936" t="e">
        <f t="shared" si="27"/>
        <v>#VALUE!</v>
      </c>
      <c r="D238" s="937" t="e">
        <f t="shared" si="28"/>
        <v>#VALUE!</v>
      </c>
      <c r="E238" s="937" t="e">
        <f t="shared" si="29"/>
        <v>#VALUE!</v>
      </c>
      <c r="F238" s="938" t="e">
        <f t="shared" si="30"/>
        <v>#VALUE!</v>
      </c>
      <c r="G238" s="919"/>
    </row>
    <row r="239" spans="1:7" x14ac:dyDescent="0.2">
      <c r="A239" s="920">
        <v>230</v>
      </c>
      <c r="B239" s="921">
        <v>51318</v>
      </c>
      <c r="C239" s="916" t="e">
        <f t="shared" si="27"/>
        <v>#VALUE!</v>
      </c>
      <c r="D239" s="917" t="e">
        <f t="shared" si="28"/>
        <v>#VALUE!</v>
      </c>
      <c r="E239" s="917" t="e">
        <f t="shared" si="29"/>
        <v>#VALUE!</v>
      </c>
      <c r="F239" s="918" t="e">
        <f t="shared" si="30"/>
        <v>#VALUE!</v>
      </c>
      <c r="G239" s="919"/>
    </row>
    <row r="240" spans="1:7" x14ac:dyDescent="0.2">
      <c r="A240" s="920">
        <v>231</v>
      </c>
      <c r="B240" s="921">
        <v>51349</v>
      </c>
      <c r="C240" s="916" t="e">
        <f t="shared" si="27"/>
        <v>#VALUE!</v>
      </c>
      <c r="D240" s="917" t="e">
        <f t="shared" si="28"/>
        <v>#VALUE!</v>
      </c>
      <c r="E240" s="917" t="e">
        <f t="shared" si="29"/>
        <v>#VALUE!</v>
      </c>
      <c r="F240" s="918" t="e">
        <f t="shared" si="30"/>
        <v>#VALUE!</v>
      </c>
      <c r="G240" s="919"/>
    </row>
    <row r="241" spans="1:7" x14ac:dyDescent="0.2">
      <c r="A241" s="920">
        <v>232</v>
      </c>
      <c r="B241" s="921">
        <v>51380</v>
      </c>
      <c r="C241" s="916" t="e">
        <f t="shared" si="27"/>
        <v>#VALUE!</v>
      </c>
      <c r="D241" s="917" t="e">
        <f t="shared" si="28"/>
        <v>#VALUE!</v>
      </c>
      <c r="E241" s="917" t="e">
        <f t="shared" si="29"/>
        <v>#VALUE!</v>
      </c>
      <c r="F241" s="918" t="e">
        <f t="shared" si="30"/>
        <v>#VALUE!</v>
      </c>
      <c r="G241" s="919"/>
    </row>
    <row r="242" spans="1:7" x14ac:dyDescent="0.2">
      <c r="A242" s="920">
        <v>233</v>
      </c>
      <c r="B242" s="921">
        <v>51410</v>
      </c>
      <c r="C242" s="916" t="e">
        <f t="shared" si="27"/>
        <v>#VALUE!</v>
      </c>
      <c r="D242" s="917" t="e">
        <f t="shared" si="28"/>
        <v>#VALUE!</v>
      </c>
      <c r="E242" s="917" t="e">
        <f t="shared" si="29"/>
        <v>#VALUE!</v>
      </c>
      <c r="F242" s="918" t="e">
        <f t="shared" si="30"/>
        <v>#VALUE!</v>
      </c>
      <c r="G242" s="919"/>
    </row>
    <row r="243" spans="1:7" x14ac:dyDescent="0.2">
      <c r="A243" s="920">
        <v>234</v>
      </c>
      <c r="B243" s="921">
        <v>51441</v>
      </c>
      <c r="C243" s="916" t="e">
        <f t="shared" si="27"/>
        <v>#VALUE!</v>
      </c>
      <c r="D243" s="917" t="e">
        <f t="shared" si="28"/>
        <v>#VALUE!</v>
      </c>
      <c r="E243" s="917" t="e">
        <f t="shared" si="29"/>
        <v>#VALUE!</v>
      </c>
      <c r="F243" s="918" t="e">
        <f t="shared" si="30"/>
        <v>#VALUE!</v>
      </c>
      <c r="G243" s="919"/>
    </row>
    <row r="244" spans="1:7" x14ac:dyDescent="0.2">
      <c r="A244" s="920">
        <v>235</v>
      </c>
      <c r="B244" s="921">
        <v>51471</v>
      </c>
      <c r="C244" s="916" t="e">
        <f t="shared" si="27"/>
        <v>#VALUE!</v>
      </c>
      <c r="D244" s="917" t="e">
        <f t="shared" si="28"/>
        <v>#VALUE!</v>
      </c>
      <c r="E244" s="917" t="e">
        <f t="shared" si="29"/>
        <v>#VALUE!</v>
      </c>
      <c r="F244" s="918" t="e">
        <f t="shared" si="30"/>
        <v>#VALUE!</v>
      </c>
      <c r="G244" s="919"/>
    </row>
    <row r="245" spans="1:7" x14ac:dyDescent="0.2">
      <c r="A245" s="920">
        <v>236</v>
      </c>
      <c r="B245" s="921">
        <v>51502</v>
      </c>
      <c r="C245" s="916" t="e">
        <f t="shared" si="27"/>
        <v>#VALUE!</v>
      </c>
      <c r="D245" s="917" t="e">
        <f t="shared" si="28"/>
        <v>#VALUE!</v>
      </c>
      <c r="E245" s="917" t="e">
        <f t="shared" si="29"/>
        <v>#VALUE!</v>
      </c>
      <c r="F245" s="918" t="e">
        <f t="shared" si="30"/>
        <v>#VALUE!</v>
      </c>
      <c r="G245" s="919"/>
    </row>
    <row r="246" spans="1:7" x14ac:dyDescent="0.2">
      <c r="A246" s="920">
        <v>237</v>
      </c>
      <c r="B246" s="921">
        <v>51533</v>
      </c>
      <c r="C246" s="916" t="e">
        <f t="shared" si="27"/>
        <v>#VALUE!</v>
      </c>
      <c r="D246" s="917" t="e">
        <f t="shared" si="28"/>
        <v>#VALUE!</v>
      </c>
      <c r="E246" s="917" t="e">
        <f t="shared" si="29"/>
        <v>#VALUE!</v>
      </c>
      <c r="F246" s="918" t="e">
        <f t="shared" si="30"/>
        <v>#VALUE!</v>
      </c>
      <c r="G246" s="919"/>
    </row>
    <row r="247" spans="1:7" x14ac:dyDescent="0.2">
      <c r="A247" s="920">
        <v>238</v>
      </c>
      <c r="B247" s="921">
        <v>51561</v>
      </c>
      <c r="C247" s="916" t="e">
        <f t="shared" si="27"/>
        <v>#VALUE!</v>
      </c>
      <c r="D247" s="917" t="e">
        <f t="shared" si="28"/>
        <v>#VALUE!</v>
      </c>
      <c r="E247" s="917" t="e">
        <f t="shared" si="29"/>
        <v>#VALUE!</v>
      </c>
      <c r="F247" s="918" t="e">
        <f t="shared" si="30"/>
        <v>#VALUE!</v>
      </c>
      <c r="G247" s="919"/>
    </row>
    <row r="248" spans="1:7" x14ac:dyDescent="0.2">
      <c r="A248" s="920">
        <v>239</v>
      </c>
      <c r="B248" s="921">
        <v>51592</v>
      </c>
      <c r="C248" s="916" t="e">
        <f t="shared" si="27"/>
        <v>#VALUE!</v>
      </c>
      <c r="D248" s="917" t="e">
        <f t="shared" si="28"/>
        <v>#VALUE!</v>
      </c>
      <c r="E248" s="917" t="e">
        <f t="shared" si="29"/>
        <v>#VALUE!</v>
      </c>
      <c r="F248" s="918" t="e">
        <f t="shared" si="30"/>
        <v>#VALUE!</v>
      </c>
      <c r="G248" s="919"/>
    </row>
    <row r="249" spans="1:7" ht="15" thickBot="1" x14ac:dyDescent="0.25">
      <c r="A249" s="922">
        <v>240</v>
      </c>
      <c r="B249" s="923">
        <v>51622</v>
      </c>
      <c r="C249" s="924" t="e">
        <f t="shared" si="27"/>
        <v>#VALUE!</v>
      </c>
      <c r="D249" s="925" t="e">
        <f t="shared" si="28"/>
        <v>#VALUE!</v>
      </c>
      <c r="E249" s="925" t="e">
        <f t="shared" si="29"/>
        <v>#VALUE!</v>
      </c>
      <c r="F249" s="926" t="e">
        <f t="shared" si="30"/>
        <v>#VALUE!</v>
      </c>
      <c r="G249" s="1036"/>
    </row>
    <row r="250" spans="1:7" x14ac:dyDescent="0.2">
      <c r="A250" s="934">
        <v>241</v>
      </c>
      <c r="B250" s="935">
        <v>51653</v>
      </c>
      <c r="C250" s="936" t="e">
        <f t="shared" si="27"/>
        <v>#VALUE!</v>
      </c>
      <c r="D250" s="937" t="e">
        <f t="shared" si="28"/>
        <v>#VALUE!</v>
      </c>
      <c r="E250" s="937" t="e">
        <f t="shared" si="29"/>
        <v>#VALUE!</v>
      </c>
      <c r="F250" s="938" t="e">
        <f t="shared" si="30"/>
        <v>#VALUE!</v>
      </c>
      <c r="G250" s="919"/>
    </row>
    <row r="251" spans="1:7" x14ac:dyDescent="0.2">
      <c r="A251" s="920">
        <v>242</v>
      </c>
      <c r="B251" s="921">
        <v>51683</v>
      </c>
      <c r="C251" s="916" t="e">
        <f t="shared" si="27"/>
        <v>#VALUE!</v>
      </c>
      <c r="D251" s="917" t="e">
        <f t="shared" si="28"/>
        <v>#VALUE!</v>
      </c>
      <c r="E251" s="917" t="e">
        <f t="shared" si="29"/>
        <v>#VALUE!</v>
      </c>
      <c r="F251" s="918" t="e">
        <f t="shared" si="30"/>
        <v>#VALUE!</v>
      </c>
      <c r="G251" s="919"/>
    </row>
    <row r="252" spans="1:7" x14ac:dyDescent="0.2">
      <c r="A252" s="920">
        <v>243</v>
      </c>
      <c r="B252" s="921">
        <v>51714</v>
      </c>
      <c r="C252" s="916" t="e">
        <f t="shared" si="27"/>
        <v>#VALUE!</v>
      </c>
      <c r="D252" s="917" t="e">
        <f t="shared" si="28"/>
        <v>#VALUE!</v>
      </c>
      <c r="E252" s="917" t="e">
        <f t="shared" si="29"/>
        <v>#VALUE!</v>
      </c>
      <c r="F252" s="918" t="e">
        <f t="shared" si="30"/>
        <v>#VALUE!</v>
      </c>
      <c r="G252" s="919"/>
    </row>
    <row r="253" spans="1:7" x14ac:dyDescent="0.2">
      <c r="A253" s="920">
        <v>244</v>
      </c>
      <c r="B253" s="921">
        <v>51745</v>
      </c>
      <c r="C253" s="916" t="e">
        <f t="shared" si="27"/>
        <v>#VALUE!</v>
      </c>
      <c r="D253" s="917" t="e">
        <f t="shared" si="28"/>
        <v>#VALUE!</v>
      </c>
      <c r="E253" s="917" t="e">
        <f t="shared" si="29"/>
        <v>#VALUE!</v>
      </c>
      <c r="F253" s="918" t="e">
        <f t="shared" si="30"/>
        <v>#VALUE!</v>
      </c>
      <c r="G253" s="919"/>
    </row>
    <row r="254" spans="1:7" x14ac:dyDescent="0.2">
      <c r="A254" s="920">
        <v>245</v>
      </c>
      <c r="B254" s="921">
        <v>51775</v>
      </c>
      <c r="C254" s="916" t="e">
        <f t="shared" si="27"/>
        <v>#VALUE!</v>
      </c>
      <c r="D254" s="917" t="e">
        <f t="shared" si="28"/>
        <v>#VALUE!</v>
      </c>
      <c r="E254" s="917" t="e">
        <f t="shared" si="29"/>
        <v>#VALUE!</v>
      </c>
      <c r="F254" s="918" t="e">
        <f t="shared" si="30"/>
        <v>#VALUE!</v>
      </c>
      <c r="G254" s="919"/>
    </row>
    <row r="255" spans="1:7" x14ac:dyDescent="0.2">
      <c r="A255" s="920">
        <v>246</v>
      </c>
      <c r="B255" s="921">
        <v>51806</v>
      </c>
      <c r="C255" s="916" t="e">
        <f t="shared" si="27"/>
        <v>#VALUE!</v>
      </c>
      <c r="D255" s="917" t="e">
        <f t="shared" si="28"/>
        <v>#VALUE!</v>
      </c>
      <c r="E255" s="917" t="e">
        <f t="shared" si="29"/>
        <v>#VALUE!</v>
      </c>
      <c r="F255" s="918" t="e">
        <f t="shared" si="30"/>
        <v>#VALUE!</v>
      </c>
      <c r="G255" s="919"/>
    </row>
    <row r="256" spans="1:7" x14ac:dyDescent="0.2">
      <c r="A256" s="920">
        <v>247</v>
      </c>
      <c r="B256" s="921">
        <v>51836</v>
      </c>
      <c r="C256" s="916" t="e">
        <f t="shared" si="27"/>
        <v>#VALUE!</v>
      </c>
      <c r="D256" s="917" t="e">
        <f t="shared" si="28"/>
        <v>#VALUE!</v>
      </c>
      <c r="E256" s="917" t="e">
        <f t="shared" si="29"/>
        <v>#VALUE!</v>
      </c>
      <c r="F256" s="918" t="e">
        <f t="shared" si="30"/>
        <v>#VALUE!</v>
      </c>
      <c r="G256" s="919"/>
    </row>
    <row r="257" spans="1:7" x14ac:dyDescent="0.2">
      <c r="A257" s="920">
        <v>248</v>
      </c>
      <c r="B257" s="921">
        <v>51867</v>
      </c>
      <c r="C257" s="916" t="e">
        <f t="shared" si="27"/>
        <v>#VALUE!</v>
      </c>
      <c r="D257" s="917" t="e">
        <f t="shared" si="28"/>
        <v>#VALUE!</v>
      </c>
      <c r="E257" s="917" t="e">
        <f t="shared" si="29"/>
        <v>#VALUE!</v>
      </c>
      <c r="F257" s="918" t="e">
        <f t="shared" si="30"/>
        <v>#VALUE!</v>
      </c>
      <c r="G257" s="919"/>
    </row>
    <row r="258" spans="1:7" x14ac:dyDescent="0.2">
      <c r="A258" s="920">
        <v>249</v>
      </c>
      <c r="B258" s="921">
        <v>51898</v>
      </c>
      <c r="C258" s="916" t="e">
        <f t="shared" si="27"/>
        <v>#VALUE!</v>
      </c>
      <c r="D258" s="917" t="e">
        <f t="shared" si="28"/>
        <v>#VALUE!</v>
      </c>
      <c r="E258" s="917" t="e">
        <f t="shared" si="29"/>
        <v>#VALUE!</v>
      </c>
      <c r="F258" s="918" t="e">
        <f t="shared" si="30"/>
        <v>#VALUE!</v>
      </c>
      <c r="G258" s="919"/>
    </row>
    <row r="259" spans="1:7" x14ac:dyDescent="0.2">
      <c r="A259" s="920">
        <v>250</v>
      </c>
      <c r="B259" s="921">
        <v>51926</v>
      </c>
      <c r="C259" s="916" t="e">
        <f t="shared" si="27"/>
        <v>#VALUE!</v>
      </c>
      <c r="D259" s="917" t="e">
        <f t="shared" si="28"/>
        <v>#VALUE!</v>
      </c>
      <c r="E259" s="917" t="e">
        <f t="shared" si="29"/>
        <v>#VALUE!</v>
      </c>
      <c r="F259" s="918" t="e">
        <f t="shared" si="30"/>
        <v>#VALUE!</v>
      </c>
      <c r="G259" s="919"/>
    </row>
    <row r="260" spans="1:7" x14ac:dyDescent="0.2">
      <c r="A260" s="920">
        <v>251</v>
      </c>
      <c r="B260" s="921">
        <v>51957</v>
      </c>
      <c r="C260" s="916" t="e">
        <f t="shared" si="27"/>
        <v>#VALUE!</v>
      </c>
      <c r="D260" s="917" t="e">
        <f t="shared" si="28"/>
        <v>#VALUE!</v>
      </c>
      <c r="E260" s="917" t="e">
        <f t="shared" si="29"/>
        <v>#VALUE!</v>
      </c>
      <c r="F260" s="918" t="e">
        <f t="shared" si="30"/>
        <v>#VALUE!</v>
      </c>
      <c r="G260" s="919"/>
    </row>
    <row r="261" spans="1:7" ht="15" thickBot="1" x14ac:dyDescent="0.25">
      <c r="A261" s="922">
        <v>252</v>
      </c>
      <c r="B261" s="923">
        <v>51987</v>
      </c>
      <c r="C261" s="924" t="e">
        <f t="shared" si="27"/>
        <v>#VALUE!</v>
      </c>
      <c r="D261" s="925" t="e">
        <f t="shared" si="28"/>
        <v>#VALUE!</v>
      </c>
      <c r="E261" s="925" t="e">
        <f t="shared" si="29"/>
        <v>#VALUE!</v>
      </c>
      <c r="F261" s="926" t="e">
        <f t="shared" si="30"/>
        <v>#VALUE!</v>
      </c>
      <c r="G261" s="1036"/>
    </row>
    <row r="262" spans="1:7" x14ac:dyDescent="0.2">
      <c r="A262" s="934">
        <v>253</v>
      </c>
      <c r="B262" s="935">
        <v>52018</v>
      </c>
      <c r="C262" s="936" t="e">
        <f t="shared" si="27"/>
        <v>#VALUE!</v>
      </c>
      <c r="D262" s="937" t="e">
        <f t="shared" si="28"/>
        <v>#VALUE!</v>
      </c>
      <c r="E262" s="937" t="e">
        <f t="shared" si="29"/>
        <v>#VALUE!</v>
      </c>
      <c r="F262" s="938" t="e">
        <f t="shared" si="30"/>
        <v>#VALUE!</v>
      </c>
      <c r="G262" s="919"/>
    </row>
    <row r="263" spans="1:7" x14ac:dyDescent="0.2">
      <c r="A263" s="920">
        <v>254</v>
      </c>
      <c r="B263" s="921">
        <v>52048</v>
      </c>
      <c r="C263" s="916" t="e">
        <f t="shared" si="27"/>
        <v>#VALUE!</v>
      </c>
      <c r="D263" s="917" t="e">
        <f t="shared" si="28"/>
        <v>#VALUE!</v>
      </c>
      <c r="E263" s="917" t="e">
        <f t="shared" si="29"/>
        <v>#VALUE!</v>
      </c>
      <c r="F263" s="918" t="e">
        <f t="shared" si="30"/>
        <v>#VALUE!</v>
      </c>
      <c r="G263" s="919"/>
    </row>
    <row r="264" spans="1:7" x14ac:dyDescent="0.2">
      <c r="A264" s="920">
        <v>255</v>
      </c>
      <c r="B264" s="921">
        <v>52079</v>
      </c>
      <c r="C264" s="916" t="e">
        <f t="shared" si="27"/>
        <v>#VALUE!</v>
      </c>
      <c r="D264" s="917" t="e">
        <f t="shared" si="28"/>
        <v>#VALUE!</v>
      </c>
      <c r="E264" s="917" t="e">
        <f t="shared" si="29"/>
        <v>#VALUE!</v>
      </c>
      <c r="F264" s="918" t="e">
        <f t="shared" si="30"/>
        <v>#VALUE!</v>
      </c>
      <c r="G264" s="919"/>
    </row>
    <row r="265" spans="1:7" x14ac:dyDescent="0.2">
      <c r="A265" s="920">
        <v>256</v>
      </c>
      <c r="B265" s="921">
        <v>52110</v>
      </c>
      <c r="C265" s="916" t="e">
        <f t="shared" si="27"/>
        <v>#VALUE!</v>
      </c>
      <c r="D265" s="917" t="e">
        <f t="shared" si="28"/>
        <v>#VALUE!</v>
      </c>
      <c r="E265" s="917" t="e">
        <f t="shared" si="29"/>
        <v>#VALUE!</v>
      </c>
      <c r="F265" s="918" t="e">
        <f t="shared" si="30"/>
        <v>#VALUE!</v>
      </c>
      <c r="G265" s="919"/>
    </row>
    <row r="266" spans="1:7" x14ac:dyDescent="0.2">
      <c r="A266" s="920">
        <v>257</v>
      </c>
      <c r="B266" s="921">
        <v>52140</v>
      </c>
      <c r="C266" s="916" t="e">
        <f t="shared" si="27"/>
        <v>#VALUE!</v>
      </c>
      <c r="D266" s="917" t="e">
        <f t="shared" si="28"/>
        <v>#VALUE!</v>
      </c>
      <c r="E266" s="917" t="e">
        <f t="shared" si="29"/>
        <v>#VALUE!</v>
      </c>
      <c r="F266" s="918" t="e">
        <f t="shared" si="30"/>
        <v>#VALUE!</v>
      </c>
      <c r="G266" s="919"/>
    </row>
    <row r="267" spans="1:7" x14ac:dyDescent="0.2">
      <c r="A267" s="920">
        <v>258</v>
      </c>
      <c r="B267" s="921">
        <v>52171</v>
      </c>
      <c r="C267" s="916" t="e">
        <f t="shared" ref="C267:C330" si="31">C266-D267</f>
        <v>#VALUE!</v>
      </c>
      <c r="D267" s="917" t="e">
        <f t="shared" ref="D267:D330" si="32">-PPMT($C$4/12,A267,$F$4*$F$6,$C$3)</f>
        <v>#VALUE!</v>
      </c>
      <c r="E267" s="917" t="e">
        <f t="shared" ref="E267:E330" si="33">F267-D267</f>
        <v>#VALUE!</v>
      </c>
      <c r="F267" s="918" t="e">
        <f t="shared" ref="F267:F330" si="34">$F$3</f>
        <v>#VALUE!</v>
      </c>
      <c r="G267" s="919"/>
    </row>
    <row r="268" spans="1:7" x14ac:dyDescent="0.2">
      <c r="A268" s="920">
        <v>259</v>
      </c>
      <c r="B268" s="921">
        <v>52201</v>
      </c>
      <c r="C268" s="916" t="e">
        <f t="shared" si="31"/>
        <v>#VALUE!</v>
      </c>
      <c r="D268" s="917" t="e">
        <f t="shared" si="32"/>
        <v>#VALUE!</v>
      </c>
      <c r="E268" s="917" t="e">
        <f t="shared" si="33"/>
        <v>#VALUE!</v>
      </c>
      <c r="F268" s="918" t="e">
        <f t="shared" si="34"/>
        <v>#VALUE!</v>
      </c>
      <c r="G268" s="919"/>
    </row>
    <row r="269" spans="1:7" x14ac:dyDescent="0.2">
      <c r="A269" s="920">
        <v>260</v>
      </c>
      <c r="B269" s="921">
        <v>52232</v>
      </c>
      <c r="C269" s="916" t="e">
        <f t="shared" si="31"/>
        <v>#VALUE!</v>
      </c>
      <c r="D269" s="917" t="e">
        <f t="shared" si="32"/>
        <v>#VALUE!</v>
      </c>
      <c r="E269" s="917" t="e">
        <f t="shared" si="33"/>
        <v>#VALUE!</v>
      </c>
      <c r="F269" s="918" t="e">
        <f t="shared" si="34"/>
        <v>#VALUE!</v>
      </c>
      <c r="G269" s="919"/>
    </row>
    <row r="270" spans="1:7" x14ac:dyDescent="0.2">
      <c r="A270" s="920">
        <v>261</v>
      </c>
      <c r="B270" s="921">
        <v>52263</v>
      </c>
      <c r="C270" s="916" t="e">
        <f t="shared" si="31"/>
        <v>#VALUE!</v>
      </c>
      <c r="D270" s="917" t="e">
        <f t="shared" si="32"/>
        <v>#VALUE!</v>
      </c>
      <c r="E270" s="917" t="e">
        <f t="shared" si="33"/>
        <v>#VALUE!</v>
      </c>
      <c r="F270" s="918" t="e">
        <f t="shared" si="34"/>
        <v>#VALUE!</v>
      </c>
      <c r="G270" s="919"/>
    </row>
    <row r="271" spans="1:7" x14ac:dyDescent="0.2">
      <c r="A271" s="920">
        <v>262</v>
      </c>
      <c r="B271" s="921">
        <v>52291</v>
      </c>
      <c r="C271" s="916" t="e">
        <f t="shared" si="31"/>
        <v>#VALUE!</v>
      </c>
      <c r="D271" s="917" t="e">
        <f t="shared" si="32"/>
        <v>#VALUE!</v>
      </c>
      <c r="E271" s="917" t="e">
        <f t="shared" si="33"/>
        <v>#VALUE!</v>
      </c>
      <c r="F271" s="918" t="e">
        <f t="shared" si="34"/>
        <v>#VALUE!</v>
      </c>
      <c r="G271" s="919"/>
    </row>
    <row r="272" spans="1:7" x14ac:dyDescent="0.2">
      <c r="A272" s="920">
        <v>263</v>
      </c>
      <c r="B272" s="921">
        <v>52322</v>
      </c>
      <c r="C272" s="916" t="e">
        <f t="shared" si="31"/>
        <v>#VALUE!</v>
      </c>
      <c r="D272" s="917" t="e">
        <f t="shared" si="32"/>
        <v>#VALUE!</v>
      </c>
      <c r="E272" s="917" t="e">
        <f t="shared" si="33"/>
        <v>#VALUE!</v>
      </c>
      <c r="F272" s="918" t="e">
        <f t="shared" si="34"/>
        <v>#VALUE!</v>
      </c>
      <c r="G272" s="919"/>
    </row>
    <row r="273" spans="1:7" ht="15" thickBot="1" x14ac:dyDescent="0.25">
      <c r="A273" s="922">
        <v>264</v>
      </c>
      <c r="B273" s="923">
        <v>52352</v>
      </c>
      <c r="C273" s="924" t="e">
        <f t="shared" si="31"/>
        <v>#VALUE!</v>
      </c>
      <c r="D273" s="925" t="e">
        <f t="shared" si="32"/>
        <v>#VALUE!</v>
      </c>
      <c r="E273" s="925" t="e">
        <f t="shared" si="33"/>
        <v>#VALUE!</v>
      </c>
      <c r="F273" s="926" t="e">
        <f t="shared" si="34"/>
        <v>#VALUE!</v>
      </c>
      <c r="G273" s="1036"/>
    </row>
    <row r="274" spans="1:7" x14ac:dyDescent="0.2">
      <c r="A274" s="934">
        <v>265</v>
      </c>
      <c r="B274" s="935">
        <v>52383</v>
      </c>
      <c r="C274" s="936" t="e">
        <f t="shared" si="31"/>
        <v>#VALUE!</v>
      </c>
      <c r="D274" s="937" t="e">
        <f t="shared" si="32"/>
        <v>#VALUE!</v>
      </c>
      <c r="E274" s="937" t="e">
        <f t="shared" si="33"/>
        <v>#VALUE!</v>
      </c>
      <c r="F274" s="938" t="e">
        <f t="shared" si="34"/>
        <v>#VALUE!</v>
      </c>
      <c r="G274" s="919"/>
    </row>
    <row r="275" spans="1:7" x14ac:dyDescent="0.2">
      <c r="A275" s="920">
        <v>266</v>
      </c>
      <c r="B275" s="921">
        <v>52413</v>
      </c>
      <c r="C275" s="916" t="e">
        <f t="shared" si="31"/>
        <v>#VALUE!</v>
      </c>
      <c r="D275" s="917" t="e">
        <f t="shared" si="32"/>
        <v>#VALUE!</v>
      </c>
      <c r="E275" s="917" t="e">
        <f t="shared" si="33"/>
        <v>#VALUE!</v>
      </c>
      <c r="F275" s="918" t="e">
        <f t="shared" si="34"/>
        <v>#VALUE!</v>
      </c>
      <c r="G275" s="919"/>
    </row>
    <row r="276" spans="1:7" x14ac:dyDescent="0.2">
      <c r="A276" s="920">
        <v>267</v>
      </c>
      <c r="B276" s="921">
        <v>52444</v>
      </c>
      <c r="C276" s="916" t="e">
        <f t="shared" si="31"/>
        <v>#VALUE!</v>
      </c>
      <c r="D276" s="917" t="e">
        <f t="shared" si="32"/>
        <v>#VALUE!</v>
      </c>
      <c r="E276" s="917" t="e">
        <f t="shared" si="33"/>
        <v>#VALUE!</v>
      </c>
      <c r="F276" s="918" t="e">
        <f t="shared" si="34"/>
        <v>#VALUE!</v>
      </c>
      <c r="G276" s="919"/>
    </row>
    <row r="277" spans="1:7" x14ac:dyDescent="0.2">
      <c r="A277" s="920">
        <v>268</v>
      </c>
      <c r="B277" s="921">
        <v>52475</v>
      </c>
      <c r="C277" s="916" t="e">
        <f t="shared" si="31"/>
        <v>#VALUE!</v>
      </c>
      <c r="D277" s="917" t="e">
        <f t="shared" si="32"/>
        <v>#VALUE!</v>
      </c>
      <c r="E277" s="917" t="e">
        <f t="shared" si="33"/>
        <v>#VALUE!</v>
      </c>
      <c r="F277" s="918" t="e">
        <f t="shared" si="34"/>
        <v>#VALUE!</v>
      </c>
      <c r="G277" s="919"/>
    </row>
    <row r="278" spans="1:7" x14ac:dyDescent="0.2">
      <c r="A278" s="920">
        <v>269</v>
      </c>
      <c r="B278" s="921">
        <v>52505</v>
      </c>
      <c r="C278" s="916" t="e">
        <f t="shared" si="31"/>
        <v>#VALUE!</v>
      </c>
      <c r="D278" s="917" t="e">
        <f t="shared" si="32"/>
        <v>#VALUE!</v>
      </c>
      <c r="E278" s="917" t="e">
        <f t="shared" si="33"/>
        <v>#VALUE!</v>
      </c>
      <c r="F278" s="918" t="e">
        <f t="shared" si="34"/>
        <v>#VALUE!</v>
      </c>
      <c r="G278" s="919"/>
    </row>
    <row r="279" spans="1:7" x14ac:dyDescent="0.2">
      <c r="A279" s="920">
        <v>270</v>
      </c>
      <c r="B279" s="921">
        <v>52536</v>
      </c>
      <c r="C279" s="916" t="e">
        <f t="shared" si="31"/>
        <v>#VALUE!</v>
      </c>
      <c r="D279" s="917" t="e">
        <f t="shared" si="32"/>
        <v>#VALUE!</v>
      </c>
      <c r="E279" s="917" t="e">
        <f t="shared" si="33"/>
        <v>#VALUE!</v>
      </c>
      <c r="F279" s="918" t="e">
        <f t="shared" si="34"/>
        <v>#VALUE!</v>
      </c>
      <c r="G279" s="919"/>
    </row>
    <row r="280" spans="1:7" x14ac:dyDescent="0.2">
      <c r="A280" s="920">
        <v>271</v>
      </c>
      <c r="B280" s="921">
        <v>52566</v>
      </c>
      <c r="C280" s="916" t="e">
        <f t="shared" si="31"/>
        <v>#VALUE!</v>
      </c>
      <c r="D280" s="917" t="e">
        <f t="shared" si="32"/>
        <v>#VALUE!</v>
      </c>
      <c r="E280" s="917" t="e">
        <f t="shared" si="33"/>
        <v>#VALUE!</v>
      </c>
      <c r="F280" s="918" t="e">
        <f t="shared" si="34"/>
        <v>#VALUE!</v>
      </c>
      <c r="G280" s="919"/>
    </row>
    <row r="281" spans="1:7" x14ac:dyDescent="0.2">
      <c r="A281" s="920">
        <v>272</v>
      </c>
      <c r="B281" s="921">
        <v>52597</v>
      </c>
      <c r="C281" s="916" t="e">
        <f t="shared" si="31"/>
        <v>#VALUE!</v>
      </c>
      <c r="D281" s="917" t="e">
        <f t="shared" si="32"/>
        <v>#VALUE!</v>
      </c>
      <c r="E281" s="917" t="e">
        <f t="shared" si="33"/>
        <v>#VALUE!</v>
      </c>
      <c r="F281" s="918" t="e">
        <f t="shared" si="34"/>
        <v>#VALUE!</v>
      </c>
      <c r="G281" s="919"/>
    </row>
    <row r="282" spans="1:7" x14ac:dyDescent="0.2">
      <c r="A282" s="920">
        <v>273</v>
      </c>
      <c r="B282" s="921">
        <v>52628</v>
      </c>
      <c r="C282" s="916" t="e">
        <f t="shared" si="31"/>
        <v>#VALUE!</v>
      </c>
      <c r="D282" s="917" t="e">
        <f t="shared" si="32"/>
        <v>#VALUE!</v>
      </c>
      <c r="E282" s="917" t="e">
        <f t="shared" si="33"/>
        <v>#VALUE!</v>
      </c>
      <c r="F282" s="918" t="e">
        <f t="shared" si="34"/>
        <v>#VALUE!</v>
      </c>
      <c r="G282" s="919"/>
    </row>
    <row r="283" spans="1:7" x14ac:dyDescent="0.2">
      <c r="A283" s="920">
        <v>274</v>
      </c>
      <c r="B283" s="921">
        <v>52657</v>
      </c>
      <c r="C283" s="916" t="e">
        <f t="shared" si="31"/>
        <v>#VALUE!</v>
      </c>
      <c r="D283" s="917" t="e">
        <f t="shared" si="32"/>
        <v>#VALUE!</v>
      </c>
      <c r="E283" s="917" t="e">
        <f t="shared" si="33"/>
        <v>#VALUE!</v>
      </c>
      <c r="F283" s="918" t="e">
        <f t="shared" si="34"/>
        <v>#VALUE!</v>
      </c>
      <c r="G283" s="919"/>
    </row>
    <row r="284" spans="1:7" x14ac:dyDescent="0.2">
      <c r="A284" s="920">
        <v>275</v>
      </c>
      <c r="B284" s="921">
        <v>52688</v>
      </c>
      <c r="C284" s="916" t="e">
        <f t="shared" si="31"/>
        <v>#VALUE!</v>
      </c>
      <c r="D284" s="917" t="e">
        <f t="shared" si="32"/>
        <v>#VALUE!</v>
      </c>
      <c r="E284" s="917" t="e">
        <f t="shared" si="33"/>
        <v>#VALUE!</v>
      </c>
      <c r="F284" s="918" t="e">
        <f t="shared" si="34"/>
        <v>#VALUE!</v>
      </c>
      <c r="G284" s="919"/>
    </row>
    <row r="285" spans="1:7" ht="15" thickBot="1" x14ac:dyDescent="0.25">
      <c r="A285" s="922">
        <v>276</v>
      </c>
      <c r="B285" s="923">
        <v>52718</v>
      </c>
      <c r="C285" s="924" t="e">
        <f t="shared" si="31"/>
        <v>#VALUE!</v>
      </c>
      <c r="D285" s="925" t="e">
        <f t="shared" si="32"/>
        <v>#VALUE!</v>
      </c>
      <c r="E285" s="925" t="e">
        <f t="shared" si="33"/>
        <v>#VALUE!</v>
      </c>
      <c r="F285" s="926" t="e">
        <f t="shared" si="34"/>
        <v>#VALUE!</v>
      </c>
      <c r="G285" s="1036"/>
    </row>
    <row r="286" spans="1:7" x14ac:dyDescent="0.2">
      <c r="A286" s="934">
        <v>277</v>
      </c>
      <c r="B286" s="935">
        <v>52749</v>
      </c>
      <c r="C286" s="936" t="e">
        <f t="shared" si="31"/>
        <v>#VALUE!</v>
      </c>
      <c r="D286" s="937" t="e">
        <f t="shared" si="32"/>
        <v>#VALUE!</v>
      </c>
      <c r="E286" s="937" t="e">
        <f t="shared" si="33"/>
        <v>#VALUE!</v>
      </c>
      <c r="F286" s="938" t="e">
        <f t="shared" si="34"/>
        <v>#VALUE!</v>
      </c>
      <c r="G286" s="919"/>
    </row>
    <row r="287" spans="1:7" x14ac:dyDescent="0.2">
      <c r="A287" s="920">
        <v>278</v>
      </c>
      <c r="B287" s="921">
        <v>52779</v>
      </c>
      <c r="C287" s="916" t="e">
        <f t="shared" si="31"/>
        <v>#VALUE!</v>
      </c>
      <c r="D287" s="917" t="e">
        <f t="shared" si="32"/>
        <v>#VALUE!</v>
      </c>
      <c r="E287" s="917" t="e">
        <f t="shared" si="33"/>
        <v>#VALUE!</v>
      </c>
      <c r="F287" s="918" t="e">
        <f t="shared" si="34"/>
        <v>#VALUE!</v>
      </c>
      <c r="G287" s="919"/>
    </row>
    <row r="288" spans="1:7" x14ac:dyDescent="0.2">
      <c r="A288" s="920">
        <v>279</v>
      </c>
      <c r="B288" s="921">
        <v>52810</v>
      </c>
      <c r="C288" s="916" t="e">
        <f t="shared" si="31"/>
        <v>#VALUE!</v>
      </c>
      <c r="D288" s="917" t="e">
        <f t="shared" si="32"/>
        <v>#VALUE!</v>
      </c>
      <c r="E288" s="917" t="e">
        <f t="shared" si="33"/>
        <v>#VALUE!</v>
      </c>
      <c r="F288" s="918" t="e">
        <f t="shared" si="34"/>
        <v>#VALUE!</v>
      </c>
      <c r="G288" s="919"/>
    </row>
    <row r="289" spans="1:7" x14ac:dyDescent="0.2">
      <c r="A289" s="920">
        <v>280</v>
      </c>
      <c r="B289" s="921">
        <v>52841</v>
      </c>
      <c r="C289" s="916" t="e">
        <f t="shared" si="31"/>
        <v>#VALUE!</v>
      </c>
      <c r="D289" s="917" t="e">
        <f t="shared" si="32"/>
        <v>#VALUE!</v>
      </c>
      <c r="E289" s="917" t="e">
        <f t="shared" si="33"/>
        <v>#VALUE!</v>
      </c>
      <c r="F289" s="918" t="e">
        <f t="shared" si="34"/>
        <v>#VALUE!</v>
      </c>
      <c r="G289" s="919"/>
    </row>
    <row r="290" spans="1:7" x14ac:dyDescent="0.2">
      <c r="A290" s="920">
        <v>281</v>
      </c>
      <c r="B290" s="921">
        <v>52871</v>
      </c>
      <c r="C290" s="916" t="e">
        <f t="shared" si="31"/>
        <v>#VALUE!</v>
      </c>
      <c r="D290" s="917" t="e">
        <f t="shared" si="32"/>
        <v>#VALUE!</v>
      </c>
      <c r="E290" s="917" t="e">
        <f t="shared" si="33"/>
        <v>#VALUE!</v>
      </c>
      <c r="F290" s="918" t="e">
        <f t="shared" si="34"/>
        <v>#VALUE!</v>
      </c>
      <c r="G290" s="919"/>
    </row>
    <row r="291" spans="1:7" x14ac:dyDescent="0.2">
      <c r="A291" s="920">
        <v>282</v>
      </c>
      <c r="B291" s="921">
        <v>52902</v>
      </c>
      <c r="C291" s="916" t="e">
        <f t="shared" si="31"/>
        <v>#VALUE!</v>
      </c>
      <c r="D291" s="917" t="e">
        <f t="shared" si="32"/>
        <v>#VALUE!</v>
      </c>
      <c r="E291" s="917" t="e">
        <f t="shared" si="33"/>
        <v>#VALUE!</v>
      </c>
      <c r="F291" s="918" t="e">
        <f t="shared" si="34"/>
        <v>#VALUE!</v>
      </c>
      <c r="G291" s="919"/>
    </row>
    <row r="292" spans="1:7" x14ac:dyDescent="0.2">
      <c r="A292" s="920">
        <v>283</v>
      </c>
      <c r="B292" s="921">
        <v>52932</v>
      </c>
      <c r="C292" s="916" t="e">
        <f t="shared" si="31"/>
        <v>#VALUE!</v>
      </c>
      <c r="D292" s="917" t="e">
        <f t="shared" si="32"/>
        <v>#VALUE!</v>
      </c>
      <c r="E292" s="917" t="e">
        <f t="shared" si="33"/>
        <v>#VALUE!</v>
      </c>
      <c r="F292" s="918" t="e">
        <f t="shared" si="34"/>
        <v>#VALUE!</v>
      </c>
      <c r="G292" s="919"/>
    </row>
    <row r="293" spans="1:7" x14ac:dyDescent="0.2">
      <c r="A293" s="920">
        <v>284</v>
      </c>
      <c r="B293" s="921">
        <v>52963</v>
      </c>
      <c r="C293" s="916" t="e">
        <f t="shared" si="31"/>
        <v>#VALUE!</v>
      </c>
      <c r="D293" s="917" t="e">
        <f t="shared" si="32"/>
        <v>#VALUE!</v>
      </c>
      <c r="E293" s="917" t="e">
        <f t="shared" si="33"/>
        <v>#VALUE!</v>
      </c>
      <c r="F293" s="918" t="e">
        <f t="shared" si="34"/>
        <v>#VALUE!</v>
      </c>
      <c r="G293" s="919"/>
    </row>
    <row r="294" spans="1:7" x14ac:dyDescent="0.2">
      <c r="A294" s="920">
        <v>285</v>
      </c>
      <c r="B294" s="921">
        <v>52994</v>
      </c>
      <c r="C294" s="916" t="e">
        <f t="shared" si="31"/>
        <v>#VALUE!</v>
      </c>
      <c r="D294" s="917" t="e">
        <f t="shared" si="32"/>
        <v>#VALUE!</v>
      </c>
      <c r="E294" s="917" t="e">
        <f t="shared" si="33"/>
        <v>#VALUE!</v>
      </c>
      <c r="F294" s="918" t="e">
        <f t="shared" si="34"/>
        <v>#VALUE!</v>
      </c>
      <c r="G294" s="919"/>
    </row>
    <row r="295" spans="1:7" x14ac:dyDescent="0.2">
      <c r="A295" s="920">
        <v>286</v>
      </c>
      <c r="B295" s="921">
        <v>53022</v>
      </c>
      <c r="C295" s="916" t="e">
        <f t="shared" si="31"/>
        <v>#VALUE!</v>
      </c>
      <c r="D295" s="917" t="e">
        <f t="shared" si="32"/>
        <v>#VALUE!</v>
      </c>
      <c r="E295" s="917" t="e">
        <f t="shared" si="33"/>
        <v>#VALUE!</v>
      </c>
      <c r="F295" s="918" t="e">
        <f t="shared" si="34"/>
        <v>#VALUE!</v>
      </c>
      <c r="G295" s="919"/>
    </row>
    <row r="296" spans="1:7" x14ac:dyDescent="0.2">
      <c r="A296" s="920">
        <v>287</v>
      </c>
      <c r="B296" s="921">
        <v>53053</v>
      </c>
      <c r="C296" s="916" t="e">
        <f t="shared" si="31"/>
        <v>#VALUE!</v>
      </c>
      <c r="D296" s="917" t="e">
        <f t="shared" si="32"/>
        <v>#VALUE!</v>
      </c>
      <c r="E296" s="917" t="e">
        <f t="shared" si="33"/>
        <v>#VALUE!</v>
      </c>
      <c r="F296" s="918" t="e">
        <f t="shared" si="34"/>
        <v>#VALUE!</v>
      </c>
      <c r="G296" s="919"/>
    </row>
    <row r="297" spans="1:7" ht="15" thickBot="1" x14ac:dyDescent="0.25">
      <c r="A297" s="922">
        <v>288</v>
      </c>
      <c r="B297" s="923">
        <v>53083</v>
      </c>
      <c r="C297" s="924" t="e">
        <f t="shared" si="31"/>
        <v>#VALUE!</v>
      </c>
      <c r="D297" s="925" t="e">
        <f t="shared" si="32"/>
        <v>#VALUE!</v>
      </c>
      <c r="E297" s="925" t="e">
        <f t="shared" si="33"/>
        <v>#VALUE!</v>
      </c>
      <c r="F297" s="926" t="e">
        <f t="shared" si="34"/>
        <v>#VALUE!</v>
      </c>
      <c r="G297" s="1036"/>
    </row>
    <row r="298" spans="1:7" x14ac:dyDescent="0.2">
      <c r="A298" s="934">
        <v>289</v>
      </c>
      <c r="B298" s="935">
        <v>53114</v>
      </c>
      <c r="C298" s="936" t="e">
        <f t="shared" si="31"/>
        <v>#VALUE!</v>
      </c>
      <c r="D298" s="937" t="e">
        <f t="shared" si="32"/>
        <v>#VALUE!</v>
      </c>
      <c r="E298" s="937" t="e">
        <f t="shared" si="33"/>
        <v>#VALUE!</v>
      </c>
      <c r="F298" s="938" t="e">
        <f t="shared" si="34"/>
        <v>#VALUE!</v>
      </c>
      <c r="G298" s="919"/>
    </row>
    <row r="299" spans="1:7" x14ac:dyDescent="0.2">
      <c r="A299" s="920">
        <v>290</v>
      </c>
      <c r="B299" s="921">
        <v>53144</v>
      </c>
      <c r="C299" s="916" t="e">
        <f t="shared" si="31"/>
        <v>#VALUE!</v>
      </c>
      <c r="D299" s="917" t="e">
        <f t="shared" si="32"/>
        <v>#VALUE!</v>
      </c>
      <c r="E299" s="917" t="e">
        <f t="shared" si="33"/>
        <v>#VALUE!</v>
      </c>
      <c r="F299" s="918" t="e">
        <f t="shared" si="34"/>
        <v>#VALUE!</v>
      </c>
      <c r="G299" s="919"/>
    </row>
    <row r="300" spans="1:7" x14ac:dyDescent="0.2">
      <c r="A300" s="920">
        <v>291</v>
      </c>
      <c r="B300" s="921">
        <v>53175</v>
      </c>
      <c r="C300" s="916" t="e">
        <f t="shared" si="31"/>
        <v>#VALUE!</v>
      </c>
      <c r="D300" s="917" t="e">
        <f t="shared" si="32"/>
        <v>#VALUE!</v>
      </c>
      <c r="E300" s="917" t="e">
        <f t="shared" si="33"/>
        <v>#VALUE!</v>
      </c>
      <c r="F300" s="918" t="e">
        <f t="shared" si="34"/>
        <v>#VALUE!</v>
      </c>
      <c r="G300" s="919"/>
    </row>
    <row r="301" spans="1:7" x14ac:dyDescent="0.2">
      <c r="A301" s="920">
        <v>292</v>
      </c>
      <c r="B301" s="921">
        <v>53206</v>
      </c>
      <c r="C301" s="916" t="e">
        <f t="shared" si="31"/>
        <v>#VALUE!</v>
      </c>
      <c r="D301" s="917" t="e">
        <f t="shared" si="32"/>
        <v>#VALUE!</v>
      </c>
      <c r="E301" s="917" t="e">
        <f t="shared" si="33"/>
        <v>#VALUE!</v>
      </c>
      <c r="F301" s="918" t="e">
        <f t="shared" si="34"/>
        <v>#VALUE!</v>
      </c>
      <c r="G301" s="919"/>
    </row>
    <row r="302" spans="1:7" x14ac:dyDescent="0.2">
      <c r="A302" s="920">
        <v>293</v>
      </c>
      <c r="B302" s="921">
        <v>53236</v>
      </c>
      <c r="C302" s="916" t="e">
        <f t="shared" si="31"/>
        <v>#VALUE!</v>
      </c>
      <c r="D302" s="917" t="e">
        <f t="shared" si="32"/>
        <v>#VALUE!</v>
      </c>
      <c r="E302" s="917" t="e">
        <f t="shared" si="33"/>
        <v>#VALUE!</v>
      </c>
      <c r="F302" s="918" t="e">
        <f t="shared" si="34"/>
        <v>#VALUE!</v>
      </c>
      <c r="G302" s="919"/>
    </row>
    <row r="303" spans="1:7" x14ac:dyDescent="0.2">
      <c r="A303" s="920">
        <v>294</v>
      </c>
      <c r="B303" s="921">
        <v>53267</v>
      </c>
      <c r="C303" s="916" t="e">
        <f t="shared" si="31"/>
        <v>#VALUE!</v>
      </c>
      <c r="D303" s="917" t="e">
        <f t="shared" si="32"/>
        <v>#VALUE!</v>
      </c>
      <c r="E303" s="917" t="e">
        <f t="shared" si="33"/>
        <v>#VALUE!</v>
      </c>
      <c r="F303" s="918" t="e">
        <f t="shared" si="34"/>
        <v>#VALUE!</v>
      </c>
      <c r="G303" s="919"/>
    </row>
    <row r="304" spans="1:7" x14ac:dyDescent="0.2">
      <c r="A304" s="920">
        <v>295</v>
      </c>
      <c r="B304" s="921">
        <v>53297</v>
      </c>
      <c r="C304" s="916" t="e">
        <f t="shared" si="31"/>
        <v>#VALUE!</v>
      </c>
      <c r="D304" s="917" t="e">
        <f t="shared" si="32"/>
        <v>#VALUE!</v>
      </c>
      <c r="E304" s="917" t="e">
        <f t="shared" si="33"/>
        <v>#VALUE!</v>
      </c>
      <c r="F304" s="918" t="e">
        <f t="shared" si="34"/>
        <v>#VALUE!</v>
      </c>
      <c r="G304" s="919"/>
    </row>
    <row r="305" spans="1:7" x14ac:dyDescent="0.2">
      <c r="A305" s="920">
        <v>296</v>
      </c>
      <c r="B305" s="921">
        <v>53328</v>
      </c>
      <c r="C305" s="916" t="e">
        <f t="shared" si="31"/>
        <v>#VALUE!</v>
      </c>
      <c r="D305" s="917" t="e">
        <f t="shared" si="32"/>
        <v>#VALUE!</v>
      </c>
      <c r="E305" s="917" t="e">
        <f t="shared" si="33"/>
        <v>#VALUE!</v>
      </c>
      <c r="F305" s="918" t="e">
        <f t="shared" si="34"/>
        <v>#VALUE!</v>
      </c>
      <c r="G305" s="919"/>
    </row>
    <row r="306" spans="1:7" x14ac:dyDescent="0.2">
      <c r="A306" s="920">
        <v>297</v>
      </c>
      <c r="B306" s="921">
        <v>53359</v>
      </c>
      <c r="C306" s="916" t="e">
        <f t="shared" si="31"/>
        <v>#VALUE!</v>
      </c>
      <c r="D306" s="917" t="e">
        <f t="shared" si="32"/>
        <v>#VALUE!</v>
      </c>
      <c r="E306" s="917" t="e">
        <f t="shared" si="33"/>
        <v>#VALUE!</v>
      </c>
      <c r="F306" s="918" t="e">
        <f t="shared" si="34"/>
        <v>#VALUE!</v>
      </c>
      <c r="G306" s="919"/>
    </row>
    <row r="307" spans="1:7" x14ac:dyDescent="0.2">
      <c r="A307" s="920">
        <v>298</v>
      </c>
      <c r="B307" s="921">
        <v>53387</v>
      </c>
      <c r="C307" s="916" t="e">
        <f t="shared" si="31"/>
        <v>#VALUE!</v>
      </c>
      <c r="D307" s="917" t="e">
        <f t="shared" si="32"/>
        <v>#VALUE!</v>
      </c>
      <c r="E307" s="917" t="e">
        <f t="shared" si="33"/>
        <v>#VALUE!</v>
      </c>
      <c r="F307" s="918" t="e">
        <f t="shared" si="34"/>
        <v>#VALUE!</v>
      </c>
      <c r="G307" s="919"/>
    </row>
    <row r="308" spans="1:7" x14ac:dyDescent="0.2">
      <c r="A308" s="920">
        <v>299</v>
      </c>
      <c r="B308" s="921">
        <v>53418</v>
      </c>
      <c r="C308" s="916" t="e">
        <f t="shared" si="31"/>
        <v>#VALUE!</v>
      </c>
      <c r="D308" s="917" t="e">
        <f t="shared" si="32"/>
        <v>#VALUE!</v>
      </c>
      <c r="E308" s="917" t="e">
        <f t="shared" si="33"/>
        <v>#VALUE!</v>
      </c>
      <c r="F308" s="918" t="e">
        <f t="shared" si="34"/>
        <v>#VALUE!</v>
      </c>
      <c r="G308" s="919"/>
    </row>
    <row r="309" spans="1:7" ht="15" thickBot="1" x14ac:dyDescent="0.25">
      <c r="A309" s="922">
        <v>300</v>
      </c>
      <c r="B309" s="923">
        <v>53448</v>
      </c>
      <c r="C309" s="924" t="e">
        <f t="shared" si="31"/>
        <v>#VALUE!</v>
      </c>
      <c r="D309" s="925" t="e">
        <f t="shared" si="32"/>
        <v>#VALUE!</v>
      </c>
      <c r="E309" s="925" t="e">
        <f t="shared" si="33"/>
        <v>#VALUE!</v>
      </c>
      <c r="F309" s="926" t="e">
        <f t="shared" si="34"/>
        <v>#VALUE!</v>
      </c>
      <c r="G309" s="1036"/>
    </row>
    <row r="310" spans="1:7" x14ac:dyDescent="0.2">
      <c r="A310" s="934">
        <v>301</v>
      </c>
      <c r="B310" s="935">
        <v>53479</v>
      </c>
      <c r="C310" s="936" t="e">
        <f t="shared" si="31"/>
        <v>#VALUE!</v>
      </c>
      <c r="D310" s="937" t="e">
        <f t="shared" si="32"/>
        <v>#VALUE!</v>
      </c>
      <c r="E310" s="937" t="e">
        <f t="shared" si="33"/>
        <v>#VALUE!</v>
      </c>
      <c r="F310" s="938" t="e">
        <f t="shared" si="34"/>
        <v>#VALUE!</v>
      </c>
      <c r="G310" s="919"/>
    </row>
    <row r="311" spans="1:7" x14ac:dyDescent="0.2">
      <c r="A311" s="920">
        <v>302</v>
      </c>
      <c r="B311" s="921">
        <v>53509</v>
      </c>
      <c r="C311" s="916" t="e">
        <f t="shared" si="31"/>
        <v>#VALUE!</v>
      </c>
      <c r="D311" s="917" t="e">
        <f t="shared" si="32"/>
        <v>#VALUE!</v>
      </c>
      <c r="E311" s="917" t="e">
        <f t="shared" si="33"/>
        <v>#VALUE!</v>
      </c>
      <c r="F311" s="918" t="e">
        <f t="shared" si="34"/>
        <v>#VALUE!</v>
      </c>
      <c r="G311" s="919"/>
    </row>
    <row r="312" spans="1:7" x14ac:dyDescent="0.2">
      <c r="A312" s="920">
        <v>303</v>
      </c>
      <c r="B312" s="921">
        <v>53540</v>
      </c>
      <c r="C312" s="916" t="e">
        <f t="shared" si="31"/>
        <v>#VALUE!</v>
      </c>
      <c r="D312" s="917" t="e">
        <f t="shared" si="32"/>
        <v>#VALUE!</v>
      </c>
      <c r="E312" s="917" t="e">
        <f t="shared" si="33"/>
        <v>#VALUE!</v>
      </c>
      <c r="F312" s="918" t="e">
        <f t="shared" si="34"/>
        <v>#VALUE!</v>
      </c>
      <c r="G312" s="919"/>
    </row>
    <row r="313" spans="1:7" x14ac:dyDescent="0.2">
      <c r="A313" s="920">
        <v>304</v>
      </c>
      <c r="B313" s="921">
        <v>53571</v>
      </c>
      <c r="C313" s="916" t="e">
        <f t="shared" si="31"/>
        <v>#VALUE!</v>
      </c>
      <c r="D313" s="917" t="e">
        <f t="shared" si="32"/>
        <v>#VALUE!</v>
      </c>
      <c r="E313" s="917" t="e">
        <f t="shared" si="33"/>
        <v>#VALUE!</v>
      </c>
      <c r="F313" s="918" t="e">
        <f t="shared" si="34"/>
        <v>#VALUE!</v>
      </c>
      <c r="G313" s="919"/>
    </row>
    <row r="314" spans="1:7" x14ac:dyDescent="0.2">
      <c r="A314" s="920">
        <v>305</v>
      </c>
      <c r="B314" s="921">
        <v>53601</v>
      </c>
      <c r="C314" s="916" t="e">
        <f t="shared" si="31"/>
        <v>#VALUE!</v>
      </c>
      <c r="D314" s="917" t="e">
        <f t="shared" si="32"/>
        <v>#VALUE!</v>
      </c>
      <c r="E314" s="917" t="e">
        <f t="shared" si="33"/>
        <v>#VALUE!</v>
      </c>
      <c r="F314" s="918" t="e">
        <f t="shared" si="34"/>
        <v>#VALUE!</v>
      </c>
      <c r="G314" s="919"/>
    </row>
    <row r="315" spans="1:7" x14ac:dyDescent="0.2">
      <c r="A315" s="920">
        <v>306</v>
      </c>
      <c r="B315" s="921">
        <v>53632</v>
      </c>
      <c r="C315" s="916" t="e">
        <f t="shared" si="31"/>
        <v>#VALUE!</v>
      </c>
      <c r="D315" s="917" t="e">
        <f t="shared" si="32"/>
        <v>#VALUE!</v>
      </c>
      <c r="E315" s="917" t="e">
        <f t="shared" si="33"/>
        <v>#VALUE!</v>
      </c>
      <c r="F315" s="918" t="e">
        <f t="shared" si="34"/>
        <v>#VALUE!</v>
      </c>
      <c r="G315" s="919"/>
    </row>
    <row r="316" spans="1:7" x14ac:dyDescent="0.2">
      <c r="A316" s="920">
        <v>307</v>
      </c>
      <c r="B316" s="921">
        <v>53662</v>
      </c>
      <c r="C316" s="916" t="e">
        <f t="shared" si="31"/>
        <v>#VALUE!</v>
      </c>
      <c r="D316" s="917" t="e">
        <f t="shared" si="32"/>
        <v>#VALUE!</v>
      </c>
      <c r="E316" s="917" t="e">
        <f t="shared" si="33"/>
        <v>#VALUE!</v>
      </c>
      <c r="F316" s="918" t="e">
        <f t="shared" si="34"/>
        <v>#VALUE!</v>
      </c>
      <c r="G316" s="919"/>
    </row>
    <row r="317" spans="1:7" x14ac:dyDescent="0.2">
      <c r="A317" s="920">
        <v>308</v>
      </c>
      <c r="B317" s="921">
        <v>53693</v>
      </c>
      <c r="C317" s="916" t="e">
        <f t="shared" si="31"/>
        <v>#VALUE!</v>
      </c>
      <c r="D317" s="917" t="e">
        <f t="shared" si="32"/>
        <v>#VALUE!</v>
      </c>
      <c r="E317" s="917" t="e">
        <f t="shared" si="33"/>
        <v>#VALUE!</v>
      </c>
      <c r="F317" s="918" t="e">
        <f t="shared" si="34"/>
        <v>#VALUE!</v>
      </c>
      <c r="G317" s="919"/>
    </row>
    <row r="318" spans="1:7" x14ac:dyDescent="0.2">
      <c r="A318" s="920">
        <v>309</v>
      </c>
      <c r="B318" s="921">
        <v>53724</v>
      </c>
      <c r="C318" s="916" t="e">
        <f t="shared" si="31"/>
        <v>#VALUE!</v>
      </c>
      <c r="D318" s="917" t="e">
        <f t="shared" si="32"/>
        <v>#VALUE!</v>
      </c>
      <c r="E318" s="917" t="e">
        <f t="shared" si="33"/>
        <v>#VALUE!</v>
      </c>
      <c r="F318" s="918" t="e">
        <f t="shared" si="34"/>
        <v>#VALUE!</v>
      </c>
      <c r="G318" s="919"/>
    </row>
    <row r="319" spans="1:7" x14ac:dyDescent="0.2">
      <c r="A319" s="920">
        <v>310</v>
      </c>
      <c r="B319" s="921">
        <v>53752</v>
      </c>
      <c r="C319" s="916" t="e">
        <f t="shared" si="31"/>
        <v>#VALUE!</v>
      </c>
      <c r="D319" s="917" t="e">
        <f t="shared" si="32"/>
        <v>#VALUE!</v>
      </c>
      <c r="E319" s="917" t="e">
        <f t="shared" si="33"/>
        <v>#VALUE!</v>
      </c>
      <c r="F319" s="918" t="e">
        <f t="shared" si="34"/>
        <v>#VALUE!</v>
      </c>
      <c r="G319" s="919"/>
    </row>
    <row r="320" spans="1:7" x14ac:dyDescent="0.2">
      <c r="A320" s="920">
        <v>311</v>
      </c>
      <c r="B320" s="921">
        <v>53783</v>
      </c>
      <c r="C320" s="916" t="e">
        <f t="shared" si="31"/>
        <v>#VALUE!</v>
      </c>
      <c r="D320" s="917" t="e">
        <f t="shared" si="32"/>
        <v>#VALUE!</v>
      </c>
      <c r="E320" s="917" t="e">
        <f t="shared" si="33"/>
        <v>#VALUE!</v>
      </c>
      <c r="F320" s="918" t="e">
        <f t="shared" si="34"/>
        <v>#VALUE!</v>
      </c>
      <c r="G320" s="919"/>
    </row>
    <row r="321" spans="1:7" ht="15" thickBot="1" x14ac:dyDescent="0.25">
      <c r="A321" s="922">
        <v>312</v>
      </c>
      <c r="B321" s="923">
        <v>53813</v>
      </c>
      <c r="C321" s="924" t="e">
        <f t="shared" si="31"/>
        <v>#VALUE!</v>
      </c>
      <c r="D321" s="925" t="e">
        <f t="shared" si="32"/>
        <v>#VALUE!</v>
      </c>
      <c r="E321" s="925" t="e">
        <f t="shared" si="33"/>
        <v>#VALUE!</v>
      </c>
      <c r="F321" s="926" t="e">
        <f t="shared" si="34"/>
        <v>#VALUE!</v>
      </c>
      <c r="G321" s="1036"/>
    </row>
    <row r="322" spans="1:7" x14ac:dyDescent="0.2">
      <c r="A322" s="934">
        <v>313</v>
      </c>
      <c r="B322" s="935">
        <v>53844</v>
      </c>
      <c r="C322" s="936" t="e">
        <f t="shared" si="31"/>
        <v>#VALUE!</v>
      </c>
      <c r="D322" s="937" t="e">
        <f t="shared" si="32"/>
        <v>#VALUE!</v>
      </c>
      <c r="E322" s="937" t="e">
        <f t="shared" si="33"/>
        <v>#VALUE!</v>
      </c>
      <c r="F322" s="938" t="e">
        <f t="shared" si="34"/>
        <v>#VALUE!</v>
      </c>
      <c r="G322" s="919"/>
    </row>
    <row r="323" spans="1:7" x14ac:dyDescent="0.2">
      <c r="A323" s="920">
        <v>314</v>
      </c>
      <c r="B323" s="921">
        <v>53874</v>
      </c>
      <c r="C323" s="916" t="e">
        <f t="shared" si="31"/>
        <v>#VALUE!</v>
      </c>
      <c r="D323" s="917" t="e">
        <f t="shared" si="32"/>
        <v>#VALUE!</v>
      </c>
      <c r="E323" s="917" t="e">
        <f t="shared" si="33"/>
        <v>#VALUE!</v>
      </c>
      <c r="F323" s="918" t="e">
        <f t="shared" si="34"/>
        <v>#VALUE!</v>
      </c>
      <c r="G323" s="919"/>
    </row>
    <row r="324" spans="1:7" x14ac:dyDescent="0.2">
      <c r="A324" s="920">
        <v>315</v>
      </c>
      <c r="B324" s="921">
        <v>53905</v>
      </c>
      <c r="C324" s="916" t="e">
        <f t="shared" si="31"/>
        <v>#VALUE!</v>
      </c>
      <c r="D324" s="917" t="e">
        <f t="shared" si="32"/>
        <v>#VALUE!</v>
      </c>
      <c r="E324" s="917" t="e">
        <f t="shared" si="33"/>
        <v>#VALUE!</v>
      </c>
      <c r="F324" s="918" t="e">
        <f t="shared" si="34"/>
        <v>#VALUE!</v>
      </c>
      <c r="G324" s="919"/>
    </row>
    <row r="325" spans="1:7" x14ac:dyDescent="0.2">
      <c r="A325" s="920">
        <v>316</v>
      </c>
      <c r="B325" s="921">
        <v>53936</v>
      </c>
      <c r="C325" s="916" t="e">
        <f t="shared" si="31"/>
        <v>#VALUE!</v>
      </c>
      <c r="D325" s="917" t="e">
        <f t="shared" si="32"/>
        <v>#VALUE!</v>
      </c>
      <c r="E325" s="917" t="e">
        <f t="shared" si="33"/>
        <v>#VALUE!</v>
      </c>
      <c r="F325" s="918" t="e">
        <f t="shared" si="34"/>
        <v>#VALUE!</v>
      </c>
      <c r="G325" s="919"/>
    </row>
    <row r="326" spans="1:7" x14ac:dyDescent="0.2">
      <c r="A326" s="920">
        <v>317</v>
      </c>
      <c r="B326" s="921">
        <v>53966</v>
      </c>
      <c r="C326" s="916" t="e">
        <f t="shared" si="31"/>
        <v>#VALUE!</v>
      </c>
      <c r="D326" s="917" t="e">
        <f t="shared" si="32"/>
        <v>#VALUE!</v>
      </c>
      <c r="E326" s="917" t="e">
        <f t="shared" si="33"/>
        <v>#VALUE!</v>
      </c>
      <c r="F326" s="918" t="e">
        <f t="shared" si="34"/>
        <v>#VALUE!</v>
      </c>
      <c r="G326" s="919"/>
    </row>
    <row r="327" spans="1:7" x14ac:dyDescent="0.2">
      <c r="A327" s="920">
        <v>318</v>
      </c>
      <c r="B327" s="921">
        <v>53997</v>
      </c>
      <c r="C327" s="916" t="e">
        <f t="shared" si="31"/>
        <v>#VALUE!</v>
      </c>
      <c r="D327" s="917" t="e">
        <f t="shared" si="32"/>
        <v>#VALUE!</v>
      </c>
      <c r="E327" s="917" t="e">
        <f t="shared" si="33"/>
        <v>#VALUE!</v>
      </c>
      <c r="F327" s="918" t="e">
        <f t="shared" si="34"/>
        <v>#VALUE!</v>
      </c>
      <c r="G327" s="919"/>
    </row>
    <row r="328" spans="1:7" x14ac:dyDescent="0.2">
      <c r="A328" s="920">
        <v>319</v>
      </c>
      <c r="B328" s="921">
        <v>54027</v>
      </c>
      <c r="C328" s="916" t="e">
        <f t="shared" si="31"/>
        <v>#VALUE!</v>
      </c>
      <c r="D328" s="917" t="e">
        <f t="shared" si="32"/>
        <v>#VALUE!</v>
      </c>
      <c r="E328" s="917" t="e">
        <f t="shared" si="33"/>
        <v>#VALUE!</v>
      </c>
      <c r="F328" s="918" t="e">
        <f t="shared" si="34"/>
        <v>#VALUE!</v>
      </c>
      <c r="G328" s="919"/>
    </row>
    <row r="329" spans="1:7" x14ac:dyDescent="0.2">
      <c r="A329" s="920">
        <v>320</v>
      </c>
      <c r="B329" s="921">
        <v>54058</v>
      </c>
      <c r="C329" s="916" t="e">
        <f t="shared" si="31"/>
        <v>#VALUE!</v>
      </c>
      <c r="D329" s="917" t="e">
        <f t="shared" si="32"/>
        <v>#VALUE!</v>
      </c>
      <c r="E329" s="917" t="e">
        <f t="shared" si="33"/>
        <v>#VALUE!</v>
      </c>
      <c r="F329" s="918" t="e">
        <f t="shared" si="34"/>
        <v>#VALUE!</v>
      </c>
      <c r="G329" s="919"/>
    </row>
    <row r="330" spans="1:7" x14ac:dyDescent="0.2">
      <c r="A330" s="920">
        <v>321</v>
      </c>
      <c r="B330" s="921">
        <v>54089</v>
      </c>
      <c r="C330" s="916" t="e">
        <f t="shared" si="31"/>
        <v>#VALUE!</v>
      </c>
      <c r="D330" s="917" t="e">
        <f t="shared" si="32"/>
        <v>#VALUE!</v>
      </c>
      <c r="E330" s="917" t="e">
        <f t="shared" si="33"/>
        <v>#VALUE!</v>
      </c>
      <c r="F330" s="918" t="e">
        <f t="shared" si="34"/>
        <v>#VALUE!</v>
      </c>
      <c r="G330" s="919"/>
    </row>
    <row r="331" spans="1:7" x14ac:dyDescent="0.2">
      <c r="A331" s="920">
        <v>322</v>
      </c>
      <c r="B331" s="921">
        <v>54118</v>
      </c>
      <c r="C331" s="916" t="e">
        <f t="shared" ref="C331:C369" si="35">C330-D331</f>
        <v>#VALUE!</v>
      </c>
      <c r="D331" s="917" t="e">
        <f t="shared" ref="D331:D369" si="36">-PPMT($C$4/12,A331,$F$4*$F$6,$C$3)</f>
        <v>#VALUE!</v>
      </c>
      <c r="E331" s="917" t="e">
        <f t="shared" ref="E331:E369" si="37">F331-D331</f>
        <v>#VALUE!</v>
      </c>
      <c r="F331" s="918" t="e">
        <f t="shared" ref="F331:F394" si="38">$F$3</f>
        <v>#VALUE!</v>
      </c>
      <c r="G331" s="919"/>
    </row>
    <row r="332" spans="1:7" x14ac:dyDescent="0.2">
      <c r="A332" s="920">
        <v>323</v>
      </c>
      <c r="B332" s="921">
        <v>54149</v>
      </c>
      <c r="C332" s="916" t="e">
        <f t="shared" si="35"/>
        <v>#VALUE!</v>
      </c>
      <c r="D332" s="917" t="e">
        <f t="shared" si="36"/>
        <v>#VALUE!</v>
      </c>
      <c r="E332" s="917" t="e">
        <f t="shared" si="37"/>
        <v>#VALUE!</v>
      </c>
      <c r="F332" s="918" t="e">
        <f t="shared" si="38"/>
        <v>#VALUE!</v>
      </c>
      <c r="G332" s="919"/>
    </row>
    <row r="333" spans="1:7" ht="15" thickBot="1" x14ac:dyDescent="0.25">
      <c r="A333" s="922">
        <v>324</v>
      </c>
      <c r="B333" s="923">
        <v>54179</v>
      </c>
      <c r="C333" s="924" t="e">
        <f t="shared" si="35"/>
        <v>#VALUE!</v>
      </c>
      <c r="D333" s="925" t="e">
        <f t="shared" si="36"/>
        <v>#VALUE!</v>
      </c>
      <c r="E333" s="925" t="e">
        <f t="shared" si="37"/>
        <v>#VALUE!</v>
      </c>
      <c r="F333" s="926" t="e">
        <f t="shared" si="38"/>
        <v>#VALUE!</v>
      </c>
      <c r="G333" s="1036"/>
    </row>
    <row r="334" spans="1:7" x14ac:dyDescent="0.2">
      <c r="A334" s="934">
        <v>325</v>
      </c>
      <c r="B334" s="935">
        <v>54210</v>
      </c>
      <c r="C334" s="936" t="e">
        <f t="shared" si="35"/>
        <v>#VALUE!</v>
      </c>
      <c r="D334" s="937" t="e">
        <f t="shared" si="36"/>
        <v>#VALUE!</v>
      </c>
      <c r="E334" s="937" t="e">
        <f t="shared" si="37"/>
        <v>#VALUE!</v>
      </c>
      <c r="F334" s="938" t="e">
        <f t="shared" si="38"/>
        <v>#VALUE!</v>
      </c>
      <c r="G334" s="919"/>
    </row>
    <row r="335" spans="1:7" x14ac:dyDescent="0.2">
      <c r="A335" s="920">
        <v>326</v>
      </c>
      <c r="B335" s="921">
        <v>54240</v>
      </c>
      <c r="C335" s="916" t="e">
        <f t="shared" si="35"/>
        <v>#VALUE!</v>
      </c>
      <c r="D335" s="917" t="e">
        <f t="shared" si="36"/>
        <v>#VALUE!</v>
      </c>
      <c r="E335" s="917" t="e">
        <f t="shared" si="37"/>
        <v>#VALUE!</v>
      </c>
      <c r="F335" s="918" t="e">
        <f t="shared" si="38"/>
        <v>#VALUE!</v>
      </c>
      <c r="G335" s="919"/>
    </row>
    <row r="336" spans="1:7" x14ac:dyDescent="0.2">
      <c r="A336" s="920">
        <v>327</v>
      </c>
      <c r="B336" s="921">
        <v>54271</v>
      </c>
      <c r="C336" s="916" t="e">
        <f t="shared" si="35"/>
        <v>#VALUE!</v>
      </c>
      <c r="D336" s="917" t="e">
        <f t="shared" si="36"/>
        <v>#VALUE!</v>
      </c>
      <c r="E336" s="917" t="e">
        <f t="shared" si="37"/>
        <v>#VALUE!</v>
      </c>
      <c r="F336" s="918" t="e">
        <f t="shared" si="38"/>
        <v>#VALUE!</v>
      </c>
      <c r="G336" s="919"/>
    </row>
    <row r="337" spans="1:7" x14ac:dyDescent="0.2">
      <c r="A337" s="920">
        <v>328</v>
      </c>
      <c r="B337" s="921">
        <v>54302</v>
      </c>
      <c r="C337" s="916" t="e">
        <f t="shared" si="35"/>
        <v>#VALUE!</v>
      </c>
      <c r="D337" s="917" t="e">
        <f t="shared" si="36"/>
        <v>#VALUE!</v>
      </c>
      <c r="E337" s="917" t="e">
        <f t="shared" si="37"/>
        <v>#VALUE!</v>
      </c>
      <c r="F337" s="918" t="e">
        <f t="shared" si="38"/>
        <v>#VALUE!</v>
      </c>
      <c r="G337" s="919"/>
    </row>
    <row r="338" spans="1:7" x14ac:dyDescent="0.2">
      <c r="A338" s="920">
        <v>329</v>
      </c>
      <c r="B338" s="921">
        <v>54332</v>
      </c>
      <c r="C338" s="916" t="e">
        <f t="shared" si="35"/>
        <v>#VALUE!</v>
      </c>
      <c r="D338" s="917" t="e">
        <f t="shared" si="36"/>
        <v>#VALUE!</v>
      </c>
      <c r="E338" s="917" t="e">
        <f t="shared" si="37"/>
        <v>#VALUE!</v>
      </c>
      <c r="F338" s="918" t="e">
        <f t="shared" si="38"/>
        <v>#VALUE!</v>
      </c>
      <c r="G338" s="919"/>
    </row>
    <row r="339" spans="1:7" x14ac:dyDescent="0.2">
      <c r="A339" s="920">
        <v>330</v>
      </c>
      <c r="B339" s="921">
        <v>54363</v>
      </c>
      <c r="C339" s="916" t="e">
        <f t="shared" si="35"/>
        <v>#VALUE!</v>
      </c>
      <c r="D339" s="917" t="e">
        <f t="shared" si="36"/>
        <v>#VALUE!</v>
      </c>
      <c r="E339" s="917" t="e">
        <f t="shared" si="37"/>
        <v>#VALUE!</v>
      </c>
      <c r="F339" s="918" t="e">
        <f t="shared" si="38"/>
        <v>#VALUE!</v>
      </c>
      <c r="G339" s="919"/>
    </row>
    <row r="340" spans="1:7" x14ac:dyDescent="0.2">
      <c r="A340" s="920">
        <v>331</v>
      </c>
      <c r="B340" s="921">
        <v>54393</v>
      </c>
      <c r="C340" s="916" t="e">
        <f t="shared" si="35"/>
        <v>#VALUE!</v>
      </c>
      <c r="D340" s="917" t="e">
        <f t="shared" si="36"/>
        <v>#VALUE!</v>
      </c>
      <c r="E340" s="917" t="e">
        <f t="shared" si="37"/>
        <v>#VALUE!</v>
      </c>
      <c r="F340" s="918" t="e">
        <f t="shared" si="38"/>
        <v>#VALUE!</v>
      </c>
      <c r="G340" s="919"/>
    </row>
    <row r="341" spans="1:7" x14ac:dyDescent="0.2">
      <c r="A341" s="920">
        <v>332</v>
      </c>
      <c r="B341" s="921">
        <v>54424</v>
      </c>
      <c r="C341" s="916" t="e">
        <f t="shared" si="35"/>
        <v>#VALUE!</v>
      </c>
      <c r="D341" s="917" t="e">
        <f t="shared" si="36"/>
        <v>#VALUE!</v>
      </c>
      <c r="E341" s="917" t="e">
        <f t="shared" si="37"/>
        <v>#VALUE!</v>
      </c>
      <c r="F341" s="918" t="e">
        <f t="shared" si="38"/>
        <v>#VALUE!</v>
      </c>
      <c r="G341" s="919"/>
    </row>
    <row r="342" spans="1:7" x14ac:dyDescent="0.2">
      <c r="A342" s="920">
        <v>333</v>
      </c>
      <c r="B342" s="921">
        <v>54455</v>
      </c>
      <c r="C342" s="916" t="e">
        <f t="shared" si="35"/>
        <v>#VALUE!</v>
      </c>
      <c r="D342" s="917" t="e">
        <f t="shared" si="36"/>
        <v>#VALUE!</v>
      </c>
      <c r="E342" s="917" t="e">
        <f t="shared" si="37"/>
        <v>#VALUE!</v>
      </c>
      <c r="F342" s="918" t="e">
        <f t="shared" si="38"/>
        <v>#VALUE!</v>
      </c>
      <c r="G342" s="919"/>
    </row>
    <row r="343" spans="1:7" x14ac:dyDescent="0.2">
      <c r="A343" s="920">
        <v>334</v>
      </c>
      <c r="B343" s="921">
        <v>54483</v>
      </c>
      <c r="C343" s="916" t="e">
        <f t="shared" si="35"/>
        <v>#VALUE!</v>
      </c>
      <c r="D343" s="917" t="e">
        <f t="shared" si="36"/>
        <v>#VALUE!</v>
      </c>
      <c r="E343" s="917" t="e">
        <f t="shared" si="37"/>
        <v>#VALUE!</v>
      </c>
      <c r="F343" s="918" t="e">
        <f t="shared" si="38"/>
        <v>#VALUE!</v>
      </c>
      <c r="G343" s="919"/>
    </row>
    <row r="344" spans="1:7" x14ac:dyDescent="0.2">
      <c r="A344" s="920">
        <v>335</v>
      </c>
      <c r="B344" s="921">
        <v>54514</v>
      </c>
      <c r="C344" s="916" t="e">
        <f t="shared" si="35"/>
        <v>#VALUE!</v>
      </c>
      <c r="D344" s="917" t="e">
        <f t="shared" si="36"/>
        <v>#VALUE!</v>
      </c>
      <c r="E344" s="917" t="e">
        <f t="shared" si="37"/>
        <v>#VALUE!</v>
      </c>
      <c r="F344" s="918" t="e">
        <f t="shared" si="38"/>
        <v>#VALUE!</v>
      </c>
      <c r="G344" s="919"/>
    </row>
    <row r="345" spans="1:7" ht="15" thickBot="1" x14ac:dyDescent="0.25">
      <c r="A345" s="922">
        <v>336</v>
      </c>
      <c r="B345" s="923">
        <v>54544</v>
      </c>
      <c r="C345" s="924" t="e">
        <f t="shared" si="35"/>
        <v>#VALUE!</v>
      </c>
      <c r="D345" s="925" t="e">
        <f t="shared" si="36"/>
        <v>#VALUE!</v>
      </c>
      <c r="E345" s="925" t="e">
        <f t="shared" si="37"/>
        <v>#VALUE!</v>
      </c>
      <c r="F345" s="926" t="e">
        <f t="shared" si="38"/>
        <v>#VALUE!</v>
      </c>
      <c r="G345" s="1036"/>
    </row>
    <row r="346" spans="1:7" x14ac:dyDescent="0.2">
      <c r="A346" s="934">
        <v>337</v>
      </c>
      <c r="B346" s="935">
        <v>54575</v>
      </c>
      <c r="C346" s="936" t="e">
        <f t="shared" si="35"/>
        <v>#VALUE!</v>
      </c>
      <c r="D346" s="937" t="e">
        <f t="shared" si="36"/>
        <v>#VALUE!</v>
      </c>
      <c r="E346" s="937" t="e">
        <f t="shared" si="37"/>
        <v>#VALUE!</v>
      </c>
      <c r="F346" s="938" t="e">
        <f t="shared" si="38"/>
        <v>#VALUE!</v>
      </c>
      <c r="G346" s="919"/>
    </row>
    <row r="347" spans="1:7" x14ac:dyDescent="0.2">
      <c r="A347" s="920">
        <v>338</v>
      </c>
      <c r="B347" s="921">
        <v>54605</v>
      </c>
      <c r="C347" s="916" t="e">
        <f t="shared" si="35"/>
        <v>#VALUE!</v>
      </c>
      <c r="D347" s="917" t="e">
        <f t="shared" si="36"/>
        <v>#VALUE!</v>
      </c>
      <c r="E347" s="917" t="e">
        <f t="shared" si="37"/>
        <v>#VALUE!</v>
      </c>
      <c r="F347" s="918" t="e">
        <f t="shared" si="38"/>
        <v>#VALUE!</v>
      </c>
      <c r="G347" s="919"/>
    </row>
    <row r="348" spans="1:7" x14ac:dyDescent="0.2">
      <c r="A348" s="920">
        <v>339</v>
      </c>
      <c r="B348" s="921">
        <v>54636</v>
      </c>
      <c r="C348" s="916" t="e">
        <f t="shared" si="35"/>
        <v>#VALUE!</v>
      </c>
      <c r="D348" s="917" t="e">
        <f t="shared" si="36"/>
        <v>#VALUE!</v>
      </c>
      <c r="E348" s="917" t="e">
        <f t="shared" si="37"/>
        <v>#VALUE!</v>
      </c>
      <c r="F348" s="918" t="e">
        <f t="shared" si="38"/>
        <v>#VALUE!</v>
      </c>
      <c r="G348" s="919"/>
    </row>
    <row r="349" spans="1:7" x14ac:dyDescent="0.2">
      <c r="A349" s="920">
        <v>340</v>
      </c>
      <c r="B349" s="921">
        <v>54667</v>
      </c>
      <c r="C349" s="916" t="e">
        <f t="shared" si="35"/>
        <v>#VALUE!</v>
      </c>
      <c r="D349" s="917" t="e">
        <f t="shared" si="36"/>
        <v>#VALUE!</v>
      </c>
      <c r="E349" s="917" t="e">
        <f t="shared" si="37"/>
        <v>#VALUE!</v>
      </c>
      <c r="F349" s="918" t="e">
        <f t="shared" si="38"/>
        <v>#VALUE!</v>
      </c>
      <c r="G349" s="919"/>
    </row>
    <row r="350" spans="1:7" x14ac:dyDescent="0.2">
      <c r="A350" s="920">
        <v>341</v>
      </c>
      <c r="B350" s="921">
        <v>54697</v>
      </c>
      <c r="C350" s="916" t="e">
        <f t="shared" si="35"/>
        <v>#VALUE!</v>
      </c>
      <c r="D350" s="917" t="e">
        <f t="shared" si="36"/>
        <v>#VALUE!</v>
      </c>
      <c r="E350" s="917" t="e">
        <f t="shared" si="37"/>
        <v>#VALUE!</v>
      </c>
      <c r="F350" s="918" t="e">
        <f t="shared" si="38"/>
        <v>#VALUE!</v>
      </c>
      <c r="G350" s="919"/>
    </row>
    <row r="351" spans="1:7" x14ac:dyDescent="0.2">
      <c r="A351" s="920">
        <v>342</v>
      </c>
      <c r="B351" s="921">
        <v>54728</v>
      </c>
      <c r="C351" s="916" t="e">
        <f t="shared" si="35"/>
        <v>#VALUE!</v>
      </c>
      <c r="D351" s="917" t="e">
        <f t="shared" si="36"/>
        <v>#VALUE!</v>
      </c>
      <c r="E351" s="917" t="e">
        <f t="shared" si="37"/>
        <v>#VALUE!</v>
      </c>
      <c r="F351" s="918" t="e">
        <f t="shared" si="38"/>
        <v>#VALUE!</v>
      </c>
      <c r="G351" s="919"/>
    </row>
    <row r="352" spans="1:7" x14ac:dyDescent="0.2">
      <c r="A352" s="920">
        <v>343</v>
      </c>
      <c r="B352" s="921">
        <v>54758</v>
      </c>
      <c r="C352" s="916" t="e">
        <f t="shared" si="35"/>
        <v>#VALUE!</v>
      </c>
      <c r="D352" s="917" t="e">
        <f t="shared" si="36"/>
        <v>#VALUE!</v>
      </c>
      <c r="E352" s="917" t="e">
        <f t="shared" si="37"/>
        <v>#VALUE!</v>
      </c>
      <c r="F352" s="918" t="e">
        <f t="shared" si="38"/>
        <v>#VALUE!</v>
      </c>
      <c r="G352" s="919"/>
    </row>
    <row r="353" spans="1:7" x14ac:dyDescent="0.2">
      <c r="A353" s="920">
        <v>344</v>
      </c>
      <c r="B353" s="921">
        <v>54789</v>
      </c>
      <c r="C353" s="916" t="e">
        <f t="shared" si="35"/>
        <v>#VALUE!</v>
      </c>
      <c r="D353" s="917" t="e">
        <f t="shared" si="36"/>
        <v>#VALUE!</v>
      </c>
      <c r="E353" s="917" t="e">
        <f t="shared" si="37"/>
        <v>#VALUE!</v>
      </c>
      <c r="F353" s="918" t="e">
        <f t="shared" si="38"/>
        <v>#VALUE!</v>
      </c>
      <c r="G353" s="919"/>
    </row>
    <row r="354" spans="1:7" x14ac:dyDescent="0.2">
      <c r="A354" s="920">
        <v>345</v>
      </c>
      <c r="B354" s="921">
        <v>54820</v>
      </c>
      <c r="C354" s="916" t="e">
        <f t="shared" si="35"/>
        <v>#VALUE!</v>
      </c>
      <c r="D354" s="917" t="e">
        <f t="shared" si="36"/>
        <v>#VALUE!</v>
      </c>
      <c r="E354" s="917" t="e">
        <f t="shared" si="37"/>
        <v>#VALUE!</v>
      </c>
      <c r="F354" s="918" t="e">
        <f t="shared" si="38"/>
        <v>#VALUE!</v>
      </c>
      <c r="G354" s="919"/>
    </row>
    <row r="355" spans="1:7" x14ac:dyDescent="0.2">
      <c r="A355" s="920">
        <v>346</v>
      </c>
      <c r="B355" s="921">
        <v>54848</v>
      </c>
      <c r="C355" s="916" t="e">
        <f t="shared" si="35"/>
        <v>#VALUE!</v>
      </c>
      <c r="D355" s="917" t="e">
        <f t="shared" si="36"/>
        <v>#VALUE!</v>
      </c>
      <c r="E355" s="917" t="e">
        <f t="shared" si="37"/>
        <v>#VALUE!</v>
      </c>
      <c r="F355" s="918" t="e">
        <f t="shared" si="38"/>
        <v>#VALUE!</v>
      </c>
      <c r="G355" s="919"/>
    </row>
    <row r="356" spans="1:7" x14ac:dyDescent="0.2">
      <c r="A356" s="920">
        <v>347</v>
      </c>
      <c r="B356" s="921">
        <v>54879</v>
      </c>
      <c r="C356" s="916" t="e">
        <f t="shared" si="35"/>
        <v>#VALUE!</v>
      </c>
      <c r="D356" s="917" t="e">
        <f t="shared" si="36"/>
        <v>#VALUE!</v>
      </c>
      <c r="E356" s="917" t="e">
        <f t="shared" si="37"/>
        <v>#VALUE!</v>
      </c>
      <c r="F356" s="918" t="e">
        <f t="shared" si="38"/>
        <v>#VALUE!</v>
      </c>
      <c r="G356" s="919"/>
    </row>
    <row r="357" spans="1:7" ht="15" thickBot="1" x14ac:dyDescent="0.25">
      <c r="A357" s="922">
        <v>348</v>
      </c>
      <c r="B357" s="923">
        <v>54909</v>
      </c>
      <c r="C357" s="924" t="e">
        <f t="shared" si="35"/>
        <v>#VALUE!</v>
      </c>
      <c r="D357" s="925" t="e">
        <f t="shared" si="36"/>
        <v>#VALUE!</v>
      </c>
      <c r="E357" s="925" t="e">
        <f t="shared" si="37"/>
        <v>#VALUE!</v>
      </c>
      <c r="F357" s="926" t="e">
        <f t="shared" si="38"/>
        <v>#VALUE!</v>
      </c>
      <c r="G357" s="1036"/>
    </row>
    <row r="358" spans="1:7" x14ac:dyDescent="0.2">
      <c r="A358" s="934">
        <v>349</v>
      </c>
      <c r="B358" s="935">
        <v>54940</v>
      </c>
      <c r="C358" s="936" t="e">
        <f t="shared" si="35"/>
        <v>#VALUE!</v>
      </c>
      <c r="D358" s="937" t="e">
        <f t="shared" si="36"/>
        <v>#VALUE!</v>
      </c>
      <c r="E358" s="937" t="e">
        <f t="shared" si="37"/>
        <v>#VALUE!</v>
      </c>
      <c r="F358" s="938" t="e">
        <f t="shared" si="38"/>
        <v>#VALUE!</v>
      </c>
      <c r="G358" s="919"/>
    </row>
    <row r="359" spans="1:7" x14ac:dyDescent="0.2">
      <c r="A359" s="920">
        <v>350</v>
      </c>
      <c r="B359" s="921">
        <v>54970</v>
      </c>
      <c r="C359" s="916" t="e">
        <f t="shared" si="35"/>
        <v>#VALUE!</v>
      </c>
      <c r="D359" s="917" t="e">
        <f t="shared" si="36"/>
        <v>#VALUE!</v>
      </c>
      <c r="E359" s="917" t="e">
        <f t="shared" si="37"/>
        <v>#VALUE!</v>
      </c>
      <c r="F359" s="918" t="e">
        <f t="shared" si="38"/>
        <v>#VALUE!</v>
      </c>
      <c r="G359" s="919"/>
    </row>
    <row r="360" spans="1:7" x14ac:dyDescent="0.2">
      <c r="A360" s="920">
        <v>351</v>
      </c>
      <c r="B360" s="921">
        <v>55001</v>
      </c>
      <c r="C360" s="916" t="e">
        <f t="shared" si="35"/>
        <v>#VALUE!</v>
      </c>
      <c r="D360" s="917" t="e">
        <f t="shared" si="36"/>
        <v>#VALUE!</v>
      </c>
      <c r="E360" s="917" t="e">
        <f t="shared" si="37"/>
        <v>#VALUE!</v>
      </c>
      <c r="F360" s="918" t="e">
        <f t="shared" si="38"/>
        <v>#VALUE!</v>
      </c>
      <c r="G360" s="919"/>
    </row>
    <row r="361" spans="1:7" x14ac:dyDescent="0.2">
      <c r="A361" s="920">
        <v>352</v>
      </c>
      <c r="B361" s="921">
        <v>55032</v>
      </c>
      <c r="C361" s="916" t="e">
        <f t="shared" si="35"/>
        <v>#VALUE!</v>
      </c>
      <c r="D361" s="917" t="e">
        <f t="shared" si="36"/>
        <v>#VALUE!</v>
      </c>
      <c r="E361" s="917" t="e">
        <f t="shared" si="37"/>
        <v>#VALUE!</v>
      </c>
      <c r="F361" s="918" t="e">
        <f t="shared" si="38"/>
        <v>#VALUE!</v>
      </c>
      <c r="G361" s="919"/>
    </row>
    <row r="362" spans="1:7" x14ac:dyDescent="0.2">
      <c r="A362" s="920">
        <v>353</v>
      </c>
      <c r="B362" s="921">
        <v>55062</v>
      </c>
      <c r="C362" s="916" t="e">
        <f t="shared" si="35"/>
        <v>#VALUE!</v>
      </c>
      <c r="D362" s="917" t="e">
        <f t="shared" si="36"/>
        <v>#VALUE!</v>
      </c>
      <c r="E362" s="917" t="e">
        <f t="shared" si="37"/>
        <v>#VALUE!</v>
      </c>
      <c r="F362" s="918" t="e">
        <f t="shared" si="38"/>
        <v>#VALUE!</v>
      </c>
      <c r="G362" s="919"/>
    </row>
    <row r="363" spans="1:7" x14ac:dyDescent="0.2">
      <c r="A363" s="920">
        <v>354</v>
      </c>
      <c r="B363" s="921">
        <v>55093</v>
      </c>
      <c r="C363" s="916" t="e">
        <f t="shared" si="35"/>
        <v>#VALUE!</v>
      </c>
      <c r="D363" s="917" t="e">
        <f t="shared" si="36"/>
        <v>#VALUE!</v>
      </c>
      <c r="E363" s="917" t="e">
        <f t="shared" si="37"/>
        <v>#VALUE!</v>
      </c>
      <c r="F363" s="918" t="e">
        <f t="shared" si="38"/>
        <v>#VALUE!</v>
      </c>
      <c r="G363" s="919"/>
    </row>
    <row r="364" spans="1:7" x14ac:dyDescent="0.2">
      <c r="A364" s="920">
        <v>355</v>
      </c>
      <c r="B364" s="921">
        <v>55123</v>
      </c>
      <c r="C364" s="916" t="e">
        <f t="shared" si="35"/>
        <v>#VALUE!</v>
      </c>
      <c r="D364" s="917" t="e">
        <f t="shared" si="36"/>
        <v>#VALUE!</v>
      </c>
      <c r="E364" s="917" t="e">
        <f t="shared" si="37"/>
        <v>#VALUE!</v>
      </c>
      <c r="F364" s="918" t="e">
        <f t="shared" si="38"/>
        <v>#VALUE!</v>
      </c>
      <c r="G364" s="919"/>
    </row>
    <row r="365" spans="1:7" x14ac:dyDescent="0.2">
      <c r="A365" s="920">
        <v>356</v>
      </c>
      <c r="B365" s="921">
        <v>55154</v>
      </c>
      <c r="C365" s="916" t="e">
        <f t="shared" si="35"/>
        <v>#VALUE!</v>
      </c>
      <c r="D365" s="917" t="e">
        <f t="shared" si="36"/>
        <v>#VALUE!</v>
      </c>
      <c r="E365" s="917" t="e">
        <f t="shared" si="37"/>
        <v>#VALUE!</v>
      </c>
      <c r="F365" s="918" t="e">
        <f t="shared" si="38"/>
        <v>#VALUE!</v>
      </c>
      <c r="G365" s="919"/>
    </row>
    <row r="366" spans="1:7" x14ac:dyDescent="0.2">
      <c r="A366" s="920">
        <v>357</v>
      </c>
      <c r="B366" s="921">
        <v>55185</v>
      </c>
      <c r="C366" s="916" t="e">
        <f t="shared" si="35"/>
        <v>#VALUE!</v>
      </c>
      <c r="D366" s="917" t="e">
        <f t="shared" si="36"/>
        <v>#VALUE!</v>
      </c>
      <c r="E366" s="917" t="e">
        <f t="shared" si="37"/>
        <v>#VALUE!</v>
      </c>
      <c r="F366" s="918" t="e">
        <f t="shared" si="38"/>
        <v>#VALUE!</v>
      </c>
      <c r="G366" s="919"/>
    </row>
    <row r="367" spans="1:7" x14ac:dyDescent="0.2">
      <c r="A367" s="920">
        <v>358</v>
      </c>
      <c r="B367" s="921">
        <v>55213</v>
      </c>
      <c r="C367" s="916" t="e">
        <f t="shared" si="35"/>
        <v>#VALUE!</v>
      </c>
      <c r="D367" s="917" t="e">
        <f t="shared" si="36"/>
        <v>#VALUE!</v>
      </c>
      <c r="E367" s="917" t="e">
        <f t="shared" si="37"/>
        <v>#VALUE!</v>
      </c>
      <c r="F367" s="918" t="e">
        <f t="shared" si="38"/>
        <v>#VALUE!</v>
      </c>
      <c r="G367" s="919"/>
    </row>
    <row r="368" spans="1:7" x14ac:dyDescent="0.2">
      <c r="A368" s="920">
        <v>359</v>
      </c>
      <c r="B368" s="921">
        <v>55244</v>
      </c>
      <c r="C368" s="916" t="e">
        <f t="shared" si="35"/>
        <v>#VALUE!</v>
      </c>
      <c r="D368" s="917" t="e">
        <f t="shared" si="36"/>
        <v>#VALUE!</v>
      </c>
      <c r="E368" s="917" t="e">
        <f t="shared" si="37"/>
        <v>#VALUE!</v>
      </c>
      <c r="F368" s="918" t="e">
        <f t="shared" si="38"/>
        <v>#VALUE!</v>
      </c>
      <c r="G368" s="919"/>
    </row>
    <row r="369" spans="1:7" ht="15" thickBot="1" x14ac:dyDescent="0.25">
      <c r="A369" s="922">
        <v>360</v>
      </c>
      <c r="B369" s="923">
        <v>55274</v>
      </c>
      <c r="C369" s="924" t="e">
        <f t="shared" si="35"/>
        <v>#VALUE!</v>
      </c>
      <c r="D369" s="925" t="e">
        <f t="shared" si="36"/>
        <v>#VALUE!</v>
      </c>
      <c r="E369" s="925" t="e">
        <f t="shared" si="37"/>
        <v>#VALUE!</v>
      </c>
      <c r="F369" s="926" t="e">
        <f t="shared" si="38"/>
        <v>#VALUE!</v>
      </c>
      <c r="G369" s="927"/>
    </row>
    <row r="370" spans="1:7" x14ac:dyDescent="0.2">
      <c r="A370" s="934">
        <v>361</v>
      </c>
      <c r="B370" s="935">
        <v>55305</v>
      </c>
      <c r="C370" s="936" t="e">
        <f t="shared" ref="C370:C433" si="39">C369-D370</f>
        <v>#VALUE!</v>
      </c>
      <c r="D370" s="937" t="e">
        <f t="shared" ref="D370:D433" si="40">-PPMT($C$4/12,A370,$F$4*$F$6,$C$3)</f>
        <v>#VALUE!</v>
      </c>
      <c r="E370" s="937" t="e">
        <f t="shared" ref="E370:E433" si="41">F370-D370</f>
        <v>#VALUE!</v>
      </c>
      <c r="F370" s="938" t="e">
        <f t="shared" si="38"/>
        <v>#VALUE!</v>
      </c>
      <c r="G370" s="919"/>
    </row>
    <row r="371" spans="1:7" x14ac:dyDescent="0.2">
      <c r="A371" s="920">
        <v>362</v>
      </c>
      <c r="B371" s="921">
        <v>55335</v>
      </c>
      <c r="C371" s="916" t="e">
        <f t="shared" si="39"/>
        <v>#VALUE!</v>
      </c>
      <c r="D371" s="917" t="e">
        <f t="shared" si="40"/>
        <v>#VALUE!</v>
      </c>
      <c r="E371" s="917" t="e">
        <f t="shared" si="41"/>
        <v>#VALUE!</v>
      </c>
      <c r="F371" s="918" t="e">
        <f t="shared" si="38"/>
        <v>#VALUE!</v>
      </c>
      <c r="G371" s="919"/>
    </row>
    <row r="372" spans="1:7" x14ac:dyDescent="0.2">
      <c r="A372" s="920">
        <v>363</v>
      </c>
      <c r="B372" s="921">
        <v>55366</v>
      </c>
      <c r="C372" s="916" t="e">
        <f t="shared" si="39"/>
        <v>#VALUE!</v>
      </c>
      <c r="D372" s="917" t="e">
        <f t="shared" si="40"/>
        <v>#VALUE!</v>
      </c>
      <c r="E372" s="917" t="e">
        <f t="shared" si="41"/>
        <v>#VALUE!</v>
      </c>
      <c r="F372" s="918" t="e">
        <f t="shared" si="38"/>
        <v>#VALUE!</v>
      </c>
      <c r="G372" s="919"/>
    </row>
    <row r="373" spans="1:7" x14ac:dyDescent="0.2">
      <c r="A373" s="920">
        <v>364</v>
      </c>
      <c r="B373" s="921">
        <v>55397</v>
      </c>
      <c r="C373" s="916" t="e">
        <f t="shared" si="39"/>
        <v>#VALUE!</v>
      </c>
      <c r="D373" s="917" t="e">
        <f t="shared" si="40"/>
        <v>#VALUE!</v>
      </c>
      <c r="E373" s="917" t="e">
        <f t="shared" si="41"/>
        <v>#VALUE!</v>
      </c>
      <c r="F373" s="918" t="e">
        <f t="shared" si="38"/>
        <v>#VALUE!</v>
      </c>
      <c r="G373" s="919"/>
    </row>
    <row r="374" spans="1:7" x14ac:dyDescent="0.2">
      <c r="A374" s="920">
        <v>365</v>
      </c>
      <c r="B374" s="921">
        <v>55427</v>
      </c>
      <c r="C374" s="916" t="e">
        <f t="shared" si="39"/>
        <v>#VALUE!</v>
      </c>
      <c r="D374" s="917" t="e">
        <f t="shared" si="40"/>
        <v>#VALUE!</v>
      </c>
      <c r="E374" s="917" t="e">
        <f t="shared" si="41"/>
        <v>#VALUE!</v>
      </c>
      <c r="F374" s="918" t="e">
        <f t="shared" si="38"/>
        <v>#VALUE!</v>
      </c>
      <c r="G374" s="919"/>
    </row>
    <row r="375" spans="1:7" x14ac:dyDescent="0.2">
      <c r="A375" s="920">
        <v>366</v>
      </c>
      <c r="B375" s="921">
        <v>55458</v>
      </c>
      <c r="C375" s="916" t="e">
        <f t="shared" si="39"/>
        <v>#VALUE!</v>
      </c>
      <c r="D375" s="917" t="e">
        <f t="shared" si="40"/>
        <v>#VALUE!</v>
      </c>
      <c r="E375" s="917" t="e">
        <f t="shared" si="41"/>
        <v>#VALUE!</v>
      </c>
      <c r="F375" s="918" t="e">
        <f t="shared" si="38"/>
        <v>#VALUE!</v>
      </c>
      <c r="G375" s="919"/>
    </row>
    <row r="376" spans="1:7" x14ac:dyDescent="0.2">
      <c r="A376" s="920">
        <v>367</v>
      </c>
      <c r="B376" s="921">
        <v>55488</v>
      </c>
      <c r="C376" s="916" t="e">
        <f t="shared" si="39"/>
        <v>#VALUE!</v>
      </c>
      <c r="D376" s="917" t="e">
        <f t="shared" si="40"/>
        <v>#VALUE!</v>
      </c>
      <c r="E376" s="917" t="e">
        <f t="shared" si="41"/>
        <v>#VALUE!</v>
      </c>
      <c r="F376" s="918" t="e">
        <f t="shared" si="38"/>
        <v>#VALUE!</v>
      </c>
      <c r="G376" s="919"/>
    </row>
    <row r="377" spans="1:7" x14ac:dyDescent="0.2">
      <c r="A377" s="920">
        <v>368</v>
      </c>
      <c r="B377" s="921">
        <v>55519</v>
      </c>
      <c r="C377" s="916" t="e">
        <f t="shared" si="39"/>
        <v>#VALUE!</v>
      </c>
      <c r="D377" s="917" t="e">
        <f t="shared" si="40"/>
        <v>#VALUE!</v>
      </c>
      <c r="E377" s="917" t="e">
        <f t="shared" si="41"/>
        <v>#VALUE!</v>
      </c>
      <c r="F377" s="918" t="e">
        <f t="shared" si="38"/>
        <v>#VALUE!</v>
      </c>
      <c r="G377" s="919"/>
    </row>
    <row r="378" spans="1:7" x14ac:dyDescent="0.2">
      <c r="A378" s="920">
        <v>369</v>
      </c>
      <c r="B378" s="921">
        <v>55550</v>
      </c>
      <c r="C378" s="916" t="e">
        <f t="shared" si="39"/>
        <v>#VALUE!</v>
      </c>
      <c r="D378" s="917" t="e">
        <f t="shared" si="40"/>
        <v>#VALUE!</v>
      </c>
      <c r="E378" s="917" t="e">
        <f t="shared" si="41"/>
        <v>#VALUE!</v>
      </c>
      <c r="F378" s="918" t="e">
        <f t="shared" si="38"/>
        <v>#VALUE!</v>
      </c>
      <c r="G378" s="919"/>
    </row>
    <row r="379" spans="1:7" x14ac:dyDescent="0.2">
      <c r="A379" s="920">
        <v>370</v>
      </c>
      <c r="B379" s="921">
        <v>55579</v>
      </c>
      <c r="C379" s="916" t="e">
        <f t="shared" si="39"/>
        <v>#VALUE!</v>
      </c>
      <c r="D379" s="917" t="e">
        <f t="shared" si="40"/>
        <v>#VALUE!</v>
      </c>
      <c r="E379" s="917" t="e">
        <f t="shared" si="41"/>
        <v>#VALUE!</v>
      </c>
      <c r="F379" s="918" t="e">
        <f t="shared" si="38"/>
        <v>#VALUE!</v>
      </c>
      <c r="G379" s="919"/>
    </row>
    <row r="380" spans="1:7" x14ac:dyDescent="0.2">
      <c r="A380" s="920">
        <v>371</v>
      </c>
      <c r="B380" s="921">
        <v>55610</v>
      </c>
      <c r="C380" s="916" t="e">
        <f t="shared" si="39"/>
        <v>#VALUE!</v>
      </c>
      <c r="D380" s="917" t="e">
        <f t="shared" si="40"/>
        <v>#VALUE!</v>
      </c>
      <c r="E380" s="917" t="e">
        <f t="shared" si="41"/>
        <v>#VALUE!</v>
      </c>
      <c r="F380" s="918" t="e">
        <f t="shared" si="38"/>
        <v>#VALUE!</v>
      </c>
      <c r="G380" s="919"/>
    </row>
    <row r="381" spans="1:7" ht="15" thickBot="1" x14ac:dyDescent="0.25">
      <c r="A381" s="922">
        <v>372</v>
      </c>
      <c r="B381" s="923">
        <v>55640</v>
      </c>
      <c r="C381" s="924" t="e">
        <f t="shared" si="39"/>
        <v>#VALUE!</v>
      </c>
      <c r="D381" s="925" t="e">
        <f t="shared" si="40"/>
        <v>#VALUE!</v>
      </c>
      <c r="E381" s="925" t="e">
        <f t="shared" si="41"/>
        <v>#VALUE!</v>
      </c>
      <c r="F381" s="926" t="e">
        <f t="shared" si="38"/>
        <v>#VALUE!</v>
      </c>
      <c r="G381" s="927"/>
    </row>
    <row r="382" spans="1:7" x14ac:dyDescent="0.2">
      <c r="A382" s="934">
        <v>373</v>
      </c>
      <c r="B382" s="935">
        <v>55671</v>
      </c>
      <c r="C382" s="936" t="e">
        <f t="shared" si="39"/>
        <v>#VALUE!</v>
      </c>
      <c r="D382" s="937" t="e">
        <f t="shared" si="40"/>
        <v>#VALUE!</v>
      </c>
      <c r="E382" s="937" t="e">
        <f t="shared" si="41"/>
        <v>#VALUE!</v>
      </c>
      <c r="F382" s="938" t="e">
        <f t="shared" si="38"/>
        <v>#VALUE!</v>
      </c>
      <c r="G382" s="919"/>
    </row>
    <row r="383" spans="1:7" x14ac:dyDescent="0.2">
      <c r="A383" s="920">
        <v>374</v>
      </c>
      <c r="B383" s="921">
        <v>55701</v>
      </c>
      <c r="C383" s="916" t="e">
        <f t="shared" si="39"/>
        <v>#VALUE!</v>
      </c>
      <c r="D383" s="917" t="e">
        <f t="shared" si="40"/>
        <v>#VALUE!</v>
      </c>
      <c r="E383" s="917" t="e">
        <f t="shared" si="41"/>
        <v>#VALUE!</v>
      </c>
      <c r="F383" s="918" t="e">
        <f t="shared" si="38"/>
        <v>#VALUE!</v>
      </c>
      <c r="G383" s="919"/>
    </row>
    <row r="384" spans="1:7" x14ac:dyDescent="0.2">
      <c r="A384" s="920">
        <v>375</v>
      </c>
      <c r="B384" s="921">
        <v>55732</v>
      </c>
      <c r="C384" s="916" t="e">
        <f t="shared" si="39"/>
        <v>#VALUE!</v>
      </c>
      <c r="D384" s="917" t="e">
        <f t="shared" si="40"/>
        <v>#VALUE!</v>
      </c>
      <c r="E384" s="917" t="e">
        <f t="shared" si="41"/>
        <v>#VALUE!</v>
      </c>
      <c r="F384" s="918" t="e">
        <f t="shared" si="38"/>
        <v>#VALUE!</v>
      </c>
      <c r="G384" s="919"/>
    </row>
    <row r="385" spans="1:7" x14ac:dyDescent="0.2">
      <c r="A385" s="920">
        <v>376</v>
      </c>
      <c r="B385" s="921">
        <v>55763</v>
      </c>
      <c r="C385" s="916" t="e">
        <f t="shared" si="39"/>
        <v>#VALUE!</v>
      </c>
      <c r="D385" s="917" t="e">
        <f t="shared" si="40"/>
        <v>#VALUE!</v>
      </c>
      <c r="E385" s="917" t="e">
        <f t="shared" si="41"/>
        <v>#VALUE!</v>
      </c>
      <c r="F385" s="918" t="e">
        <f t="shared" si="38"/>
        <v>#VALUE!</v>
      </c>
      <c r="G385" s="919"/>
    </row>
    <row r="386" spans="1:7" x14ac:dyDescent="0.2">
      <c r="A386" s="920">
        <v>377</v>
      </c>
      <c r="B386" s="921">
        <v>55793</v>
      </c>
      <c r="C386" s="916" t="e">
        <f t="shared" si="39"/>
        <v>#VALUE!</v>
      </c>
      <c r="D386" s="917" t="e">
        <f t="shared" si="40"/>
        <v>#VALUE!</v>
      </c>
      <c r="E386" s="917" t="e">
        <f t="shared" si="41"/>
        <v>#VALUE!</v>
      </c>
      <c r="F386" s="918" t="e">
        <f t="shared" si="38"/>
        <v>#VALUE!</v>
      </c>
      <c r="G386" s="919"/>
    </row>
    <row r="387" spans="1:7" x14ac:dyDescent="0.2">
      <c r="A387" s="920">
        <v>378</v>
      </c>
      <c r="B387" s="921">
        <v>55824</v>
      </c>
      <c r="C387" s="916" t="e">
        <f t="shared" si="39"/>
        <v>#VALUE!</v>
      </c>
      <c r="D387" s="917" t="e">
        <f t="shared" si="40"/>
        <v>#VALUE!</v>
      </c>
      <c r="E387" s="917" t="e">
        <f t="shared" si="41"/>
        <v>#VALUE!</v>
      </c>
      <c r="F387" s="918" t="e">
        <f t="shared" si="38"/>
        <v>#VALUE!</v>
      </c>
      <c r="G387" s="919"/>
    </row>
    <row r="388" spans="1:7" x14ac:dyDescent="0.2">
      <c r="A388" s="920">
        <v>379</v>
      </c>
      <c r="B388" s="921">
        <v>55854</v>
      </c>
      <c r="C388" s="916" t="e">
        <f t="shared" si="39"/>
        <v>#VALUE!</v>
      </c>
      <c r="D388" s="917" t="e">
        <f t="shared" si="40"/>
        <v>#VALUE!</v>
      </c>
      <c r="E388" s="917" t="e">
        <f t="shared" si="41"/>
        <v>#VALUE!</v>
      </c>
      <c r="F388" s="918" t="e">
        <f t="shared" si="38"/>
        <v>#VALUE!</v>
      </c>
      <c r="G388" s="919"/>
    </row>
    <row r="389" spans="1:7" x14ac:dyDescent="0.2">
      <c r="A389" s="920">
        <v>380</v>
      </c>
      <c r="B389" s="921">
        <v>55885</v>
      </c>
      <c r="C389" s="916" t="e">
        <f t="shared" si="39"/>
        <v>#VALUE!</v>
      </c>
      <c r="D389" s="917" t="e">
        <f t="shared" si="40"/>
        <v>#VALUE!</v>
      </c>
      <c r="E389" s="917" t="e">
        <f t="shared" si="41"/>
        <v>#VALUE!</v>
      </c>
      <c r="F389" s="918" t="e">
        <f t="shared" si="38"/>
        <v>#VALUE!</v>
      </c>
      <c r="G389" s="919"/>
    </row>
    <row r="390" spans="1:7" x14ac:dyDescent="0.2">
      <c r="A390" s="920">
        <v>381</v>
      </c>
      <c r="B390" s="921">
        <v>55916</v>
      </c>
      <c r="C390" s="916" t="e">
        <f t="shared" si="39"/>
        <v>#VALUE!</v>
      </c>
      <c r="D390" s="917" t="e">
        <f t="shared" si="40"/>
        <v>#VALUE!</v>
      </c>
      <c r="E390" s="917" t="e">
        <f t="shared" si="41"/>
        <v>#VALUE!</v>
      </c>
      <c r="F390" s="918" t="e">
        <f t="shared" si="38"/>
        <v>#VALUE!</v>
      </c>
      <c r="G390" s="919"/>
    </row>
    <row r="391" spans="1:7" x14ac:dyDescent="0.2">
      <c r="A391" s="920">
        <v>382</v>
      </c>
      <c r="B391" s="921">
        <v>55944</v>
      </c>
      <c r="C391" s="916" t="e">
        <f t="shared" si="39"/>
        <v>#VALUE!</v>
      </c>
      <c r="D391" s="917" t="e">
        <f t="shared" si="40"/>
        <v>#VALUE!</v>
      </c>
      <c r="E391" s="917" t="e">
        <f t="shared" si="41"/>
        <v>#VALUE!</v>
      </c>
      <c r="F391" s="918" t="e">
        <f t="shared" si="38"/>
        <v>#VALUE!</v>
      </c>
      <c r="G391" s="919"/>
    </row>
    <row r="392" spans="1:7" x14ac:dyDescent="0.2">
      <c r="A392" s="920">
        <v>383</v>
      </c>
      <c r="B392" s="921">
        <v>55975</v>
      </c>
      <c r="C392" s="916" t="e">
        <f t="shared" si="39"/>
        <v>#VALUE!</v>
      </c>
      <c r="D392" s="917" t="e">
        <f t="shared" si="40"/>
        <v>#VALUE!</v>
      </c>
      <c r="E392" s="917" t="e">
        <f t="shared" si="41"/>
        <v>#VALUE!</v>
      </c>
      <c r="F392" s="918" t="e">
        <f t="shared" si="38"/>
        <v>#VALUE!</v>
      </c>
      <c r="G392" s="919"/>
    </row>
    <row r="393" spans="1:7" ht="15" thickBot="1" x14ac:dyDescent="0.25">
      <c r="A393" s="922">
        <v>384</v>
      </c>
      <c r="B393" s="923">
        <v>56005</v>
      </c>
      <c r="C393" s="924" t="e">
        <f t="shared" si="39"/>
        <v>#VALUE!</v>
      </c>
      <c r="D393" s="925" t="e">
        <f t="shared" si="40"/>
        <v>#VALUE!</v>
      </c>
      <c r="E393" s="925" t="e">
        <f t="shared" si="41"/>
        <v>#VALUE!</v>
      </c>
      <c r="F393" s="926" t="e">
        <f t="shared" si="38"/>
        <v>#VALUE!</v>
      </c>
      <c r="G393" s="927"/>
    </row>
    <row r="394" spans="1:7" x14ac:dyDescent="0.2">
      <c r="A394" s="934">
        <v>385</v>
      </c>
      <c r="B394" s="935">
        <v>56036</v>
      </c>
      <c r="C394" s="936" t="e">
        <f t="shared" si="39"/>
        <v>#VALUE!</v>
      </c>
      <c r="D394" s="937" t="e">
        <f t="shared" si="40"/>
        <v>#VALUE!</v>
      </c>
      <c r="E394" s="937" t="e">
        <f t="shared" si="41"/>
        <v>#VALUE!</v>
      </c>
      <c r="F394" s="938" t="e">
        <f t="shared" si="38"/>
        <v>#VALUE!</v>
      </c>
      <c r="G394" s="919"/>
    </row>
    <row r="395" spans="1:7" x14ac:dyDescent="0.2">
      <c r="A395" s="920">
        <v>386</v>
      </c>
      <c r="B395" s="921">
        <v>56066</v>
      </c>
      <c r="C395" s="916" t="e">
        <f t="shared" si="39"/>
        <v>#VALUE!</v>
      </c>
      <c r="D395" s="917" t="e">
        <f t="shared" si="40"/>
        <v>#VALUE!</v>
      </c>
      <c r="E395" s="917" t="e">
        <f t="shared" si="41"/>
        <v>#VALUE!</v>
      </c>
      <c r="F395" s="918" t="e">
        <f t="shared" ref="F395:F458" si="42">$F$3</f>
        <v>#VALUE!</v>
      </c>
      <c r="G395" s="919"/>
    </row>
    <row r="396" spans="1:7" x14ac:dyDescent="0.2">
      <c r="A396" s="920">
        <v>387</v>
      </c>
      <c r="B396" s="921">
        <v>56097</v>
      </c>
      <c r="C396" s="916" t="e">
        <f t="shared" si="39"/>
        <v>#VALUE!</v>
      </c>
      <c r="D396" s="917" t="e">
        <f t="shared" si="40"/>
        <v>#VALUE!</v>
      </c>
      <c r="E396" s="917" t="e">
        <f t="shared" si="41"/>
        <v>#VALUE!</v>
      </c>
      <c r="F396" s="918" t="e">
        <f t="shared" si="42"/>
        <v>#VALUE!</v>
      </c>
      <c r="G396" s="919"/>
    </row>
    <row r="397" spans="1:7" x14ac:dyDescent="0.2">
      <c r="A397" s="920">
        <v>388</v>
      </c>
      <c r="B397" s="921">
        <v>56128</v>
      </c>
      <c r="C397" s="916" t="e">
        <f t="shared" si="39"/>
        <v>#VALUE!</v>
      </c>
      <c r="D397" s="917" t="e">
        <f t="shared" si="40"/>
        <v>#VALUE!</v>
      </c>
      <c r="E397" s="917" t="e">
        <f t="shared" si="41"/>
        <v>#VALUE!</v>
      </c>
      <c r="F397" s="918" t="e">
        <f t="shared" si="42"/>
        <v>#VALUE!</v>
      </c>
      <c r="G397" s="919"/>
    </row>
    <row r="398" spans="1:7" x14ac:dyDescent="0.2">
      <c r="A398" s="920">
        <v>389</v>
      </c>
      <c r="B398" s="921">
        <v>56158</v>
      </c>
      <c r="C398" s="916" t="e">
        <f t="shared" si="39"/>
        <v>#VALUE!</v>
      </c>
      <c r="D398" s="917" t="e">
        <f t="shared" si="40"/>
        <v>#VALUE!</v>
      </c>
      <c r="E398" s="917" t="e">
        <f t="shared" si="41"/>
        <v>#VALUE!</v>
      </c>
      <c r="F398" s="918" t="e">
        <f t="shared" si="42"/>
        <v>#VALUE!</v>
      </c>
      <c r="G398" s="919"/>
    </row>
    <row r="399" spans="1:7" x14ac:dyDescent="0.2">
      <c r="A399" s="920">
        <v>390</v>
      </c>
      <c r="B399" s="921">
        <v>56189</v>
      </c>
      <c r="C399" s="916" t="e">
        <f t="shared" si="39"/>
        <v>#VALUE!</v>
      </c>
      <c r="D399" s="917" t="e">
        <f t="shared" si="40"/>
        <v>#VALUE!</v>
      </c>
      <c r="E399" s="917" t="e">
        <f t="shared" si="41"/>
        <v>#VALUE!</v>
      </c>
      <c r="F399" s="918" t="e">
        <f t="shared" si="42"/>
        <v>#VALUE!</v>
      </c>
      <c r="G399" s="919"/>
    </row>
    <row r="400" spans="1:7" x14ac:dyDescent="0.2">
      <c r="A400" s="920">
        <v>391</v>
      </c>
      <c r="B400" s="921">
        <v>56219</v>
      </c>
      <c r="C400" s="916" t="e">
        <f t="shared" si="39"/>
        <v>#VALUE!</v>
      </c>
      <c r="D400" s="917" t="e">
        <f t="shared" si="40"/>
        <v>#VALUE!</v>
      </c>
      <c r="E400" s="917" t="e">
        <f t="shared" si="41"/>
        <v>#VALUE!</v>
      </c>
      <c r="F400" s="918" t="e">
        <f t="shared" si="42"/>
        <v>#VALUE!</v>
      </c>
      <c r="G400" s="919"/>
    </row>
    <row r="401" spans="1:7" x14ac:dyDescent="0.2">
      <c r="A401" s="920">
        <v>392</v>
      </c>
      <c r="B401" s="921">
        <v>56250</v>
      </c>
      <c r="C401" s="916" t="e">
        <f t="shared" si="39"/>
        <v>#VALUE!</v>
      </c>
      <c r="D401" s="917" t="e">
        <f t="shared" si="40"/>
        <v>#VALUE!</v>
      </c>
      <c r="E401" s="917" t="e">
        <f t="shared" si="41"/>
        <v>#VALUE!</v>
      </c>
      <c r="F401" s="918" t="e">
        <f t="shared" si="42"/>
        <v>#VALUE!</v>
      </c>
      <c r="G401" s="919"/>
    </row>
    <row r="402" spans="1:7" x14ac:dyDescent="0.2">
      <c r="A402" s="920">
        <v>393</v>
      </c>
      <c r="B402" s="921">
        <v>56281</v>
      </c>
      <c r="C402" s="916" t="e">
        <f t="shared" si="39"/>
        <v>#VALUE!</v>
      </c>
      <c r="D402" s="917" t="e">
        <f t="shared" si="40"/>
        <v>#VALUE!</v>
      </c>
      <c r="E402" s="917" t="e">
        <f t="shared" si="41"/>
        <v>#VALUE!</v>
      </c>
      <c r="F402" s="918" t="e">
        <f t="shared" si="42"/>
        <v>#VALUE!</v>
      </c>
      <c r="G402" s="919"/>
    </row>
    <row r="403" spans="1:7" x14ac:dyDescent="0.2">
      <c r="A403" s="920">
        <v>394</v>
      </c>
      <c r="B403" s="921">
        <v>56309</v>
      </c>
      <c r="C403" s="916" t="e">
        <f t="shared" si="39"/>
        <v>#VALUE!</v>
      </c>
      <c r="D403" s="917" t="e">
        <f t="shared" si="40"/>
        <v>#VALUE!</v>
      </c>
      <c r="E403" s="917" t="e">
        <f t="shared" si="41"/>
        <v>#VALUE!</v>
      </c>
      <c r="F403" s="918" t="e">
        <f t="shared" si="42"/>
        <v>#VALUE!</v>
      </c>
      <c r="G403" s="919"/>
    </row>
    <row r="404" spans="1:7" x14ac:dyDescent="0.2">
      <c r="A404" s="920">
        <v>395</v>
      </c>
      <c r="B404" s="921">
        <v>56340</v>
      </c>
      <c r="C404" s="916" t="e">
        <f t="shared" si="39"/>
        <v>#VALUE!</v>
      </c>
      <c r="D404" s="917" t="e">
        <f t="shared" si="40"/>
        <v>#VALUE!</v>
      </c>
      <c r="E404" s="917" t="e">
        <f t="shared" si="41"/>
        <v>#VALUE!</v>
      </c>
      <c r="F404" s="918" t="e">
        <f t="shared" si="42"/>
        <v>#VALUE!</v>
      </c>
      <c r="G404" s="919"/>
    </row>
    <row r="405" spans="1:7" ht="15" thickBot="1" x14ac:dyDescent="0.25">
      <c r="A405" s="922">
        <v>396</v>
      </c>
      <c r="B405" s="923">
        <v>56370</v>
      </c>
      <c r="C405" s="924" t="e">
        <f t="shared" si="39"/>
        <v>#VALUE!</v>
      </c>
      <c r="D405" s="925" t="e">
        <f t="shared" si="40"/>
        <v>#VALUE!</v>
      </c>
      <c r="E405" s="925" t="e">
        <f t="shared" si="41"/>
        <v>#VALUE!</v>
      </c>
      <c r="F405" s="926" t="e">
        <f t="shared" si="42"/>
        <v>#VALUE!</v>
      </c>
      <c r="G405" s="927"/>
    </row>
    <row r="406" spans="1:7" x14ac:dyDescent="0.2">
      <c r="A406" s="934">
        <v>397</v>
      </c>
      <c r="B406" s="935">
        <v>56401</v>
      </c>
      <c r="C406" s="936" t="e">
        <f t="shared" si="39"/>
        <v>#VALUE!</v>
      </c>
      <c r="D406" s="937" t="e">
        <f t="shared" si="40"/>
        <v>#VALUE!</v>
      </c>
      <c r="E406" s="937" t="e">
        <f t="shared" si="41"/>
        <v>#VALUE!</v>
      </c>
      <c r="F406" s="938" t="e">
        <f t="shared" si="42"/>
        <v>#VALUE!</v>
      </c>
      <c r="G406" s="919"/>
    </row>
    <row r="407" spans="1:7" x14ac:dyDescent="0.2">
      <c r="A407" s="920">
        <v>398</v>
      </c>
      <c r="B407" s="921">
        <v>56431</v>
      </c>
      <c r="C407" s="916" t="e">
        <f t="shared" si="39"/>
        <v>#VALUE!</v>
      </c>
      <c r="D407" s="917" t="e">
        <f t="shared" si="40"/>
        <v>#VALUE!</v>
      </c>
      <c r="E407" s="917" t="e">
        <f t="shared" si="41"/>
        <v>#VALUE!</v>
      </c>
      <c r="F407" s="918" t="e">
        <f t="shared" si="42"/>
        <v>#VALUE!</v>
      </c>
      <c r="G407" s="919"/>
    </row>
    <row r="408" spans="1:7" x14ac:dyDescent="0.2">
      <c r="A408" s="920">
        <v>399</v>
      </c>
      <c r="B408" s="921">
        <v>56462</v>
      </c>
      <c r="C408" s="916" t="e">
        <f t="shared" si="39"/>
        <v>#VALUE!</v>
      </c>
      <c r="D408" s="917" t="e">
        <f t="shared" si="40"/>
        <v>#VALUE!</v>
      </c>
      <c r="E408" s="917" t="e">
        <f t="shared" si="41"/>
        <v>#VALUE!</v>
      </c>
      <c r="F408" s="918" t="e">
        <f t="shared" si="42"/>
        <v>#VALUE!</v>
      </c>
      <c r="G408" s="919"/>
    </row>
    <row r="409" spans="1:7" x14ac:dyDescent="0.2">
      <c r="A409" s="920">
        <v>400</v>
      </c>
      <c r="B409" s="921">
        <v>56493</v>
      </c>
      <c r="C409" s="916" t="e">
        <f t="shared" si="39"/>
        <v>#VALUE!</v>
      </c>
      <c r="D409" s="917" t="e">
        <f t="shared" si="40"/>
        <v>#VALUE!</v>
      </c>
      <c r="E409" s="917" t="e">
        <f t="shared" si="41"/>
        <v>#VALUE!</v>
      </c>
      <c r="F409" s="918" t="e">
        <f t="shared" si="42"/>
        <v>#VALUE!</v>
      </c>
      <c r="G409" s="919"/>
    </row>
    <row r="410" spans="1:7" x14ac:dyDescent="0.2">
      <c r="A410" s="920">
        <v>401</v>
      </c>
      <c r="B410" s="921">
        <v>56523</v>
      </c>
      <c r="C410" s="916" t="e">
        <f t="shared" si="39"/>
        <v>#VALUE!</v>
      </c>
      <c r="D410" s="917" t="e">
        <f t="shared" si="40"/>
        <v>#VALUE!</v>
      </c>
      <c r="E410" s="917" t="e">
        <f t="shared" si="41"/>
        <v>#VALUE!</v>
      </c>
      <c r="F410" s="918" t="e">
        <f t="shared" si="42"/>
        <v>#VALUE!</v>
      </c>
      <c r="G410" s="919"/>
    </row>
    <row r="411" spans="1:7" x14ac:dyDescent="0.2">
      <c r="A411" s="920">
        <v>402</v>
      </c>
      <c r="B411" s="921">
        <v>56554</v>
      </c>
      <c r="C411" s="916" t="e">
        <f t="shared" si="39"/>
        <v>#VALUE!</v>
      </c>
      <c r="D411" s="917" t="e">
        <f t="shared" si="40"/>
        <v>#VALUE!</v>
      </c>
      <c r="E411" s="917" t="e">
        <f t="shared" si="41"/>
        <v>#VALUE!</v>
      </c>
      <c r="F411" s="918" t="e">
        <f t="shared" si="42"/>
        <v>#VALUE!</v>
      </c>
      <c r="G411" s="919"/>
    </row>
    <row r="412" spans="1:7" x14ac:dyDescent="0.2">
      <c r="A412" s="920">
        <v>403</v>
      </c>
      <c r="B412" s="921">
        <v>56584</v>
      </c>
      <c r="C412" s="916" t="e">
        <f t="shared" si="39"/>
        <v>#VALUE!</v>
      </c>
      <c r="D412" s="917" t="e">
        <f t="shared" si="40"/>
        <v>#VALUE!</v>
      </c>
      <c r="E412" s="917" t="e">
        <f t="shared" si="41"/>
        <v>#VALUE!</v>
      </c>
      <c r="F412" s="918" t="e">
        <f t="shared" si="42"/>
        <v>#VALUE!</v>
      </c>
      <c r="G412" s="919"/>
    </row>
    <row r="413" spans="1:7" x14ac:dyDescent="0.2">
      <c r="A413" s="920">
        <v>404</v>
      </c>
      <c r="B413" s="921">
        <v>56615</v>
      </c>
      <c r="C413" s="916" t="e">
        <f t="shared" si="39"/>
        <v>#VALUE!</v>
      </c>
      <c r="D413" s="917" t="e">
        <f t="shared" si="40"/>
        <v>#VALUE!</v>
      </c>
      <c r="E413" s="917" t="e">
        <f t="shared" si="41"/>
        <v>#VALUE!</v>
      </c>
      <c r="F413" s="918" t="e">
        <f t="shared" si="42"/>
        <v>#VALUE!</v>
      </c>
      <c r="G413" s="919"/>
    </row>
    <row r="414" spans="1:7" x14ac:dyDescent="0.2">
      <c r="A414" s="920">
        <v>405</v>
      </c>
      <c r="B414" s="921">
        <v>56646</v>
      </c>
      <c r="C414" s="916" t="e">
        <f t="shared" si="39"/>
        <v>#VALUE!</v>
      </c>
      <c r="D414" s="917" t="e">
        <f t="shared" si="40"/>
        <v>#VALUE!</v>
      </c>
      <c r="E414" s="917" t="e">
        <f t="shared" si="41"/>
        <v>#VALUE!</v>
      </c>
      <c r="F414" s="918" t="e">
        <f t="shared" si="42"/>
        <v>#VALUE!</v>
      </c>
      <c r="G414" s="919"/>
    </row>
    <row r="415" spans="1:7" x14ac:dyDescent="0.2">
      <c r="A415" s="920">
        <v>406</v>
      </c>
      <c r="B415" s="921">
        <v>56674</v>
      </c>
      <c r="C415" s="916" t="e">
        <f t="shared" si="39"/>
        <v>#VALUE!</v>
      </c>
      <c r="D415" s="917" t="e">
        <f t="shared" si="40"/>
        <v>#VALUE!</v>
      </c>
      <c r="E415" s="917" t="e">
        <f t="shared" si="41"/>
        <v>#VALUE!</v>
      </c>
      <c r="F415" s="918" t="e">
        <f t="shared" si="42"/>
        <v>#VALUE!</v>
      </c>
      <c r="G415" s="919"/>
    </row>
    <row r="416" spans="1:7" x14ac:dyDescent="0.2">
      <c r="A416" s="920">
        <v>407</v>
      </c>
      <c r="B416" s="921">
        <v>56705</v>
      </c>
      <c r="C416" s="916" t="e">
        <f t="shared" si="39"/>
        <v>#VALUE!</v>
      </c>
      <c r="D416" s="917" t="e">
        <f t="shared" si="40"/>
        <v>#VALUE!</v>
      </c>
      <c r="E416" s="917" t="e">
        <f t="shared" si="41"/>
        <v>#VALUE!</v>
      </c>
      <c r="F416" s="918" t="e">
        <f t="shared" si="42"/>
        <v>#VALUE!</v>
      </c>
      <c r="G416" s="919"/>
    </row>
    <row r="417" spans="1:7" ht="15" thickBot="1" x14ac:dyDescent="0.25">
      <c r="A417" s="922">
        <v>408</v>
      </c>
      <c r="B417" s="923">
        <v>56735</v>
      </c>
      <c r="C417" s="924" t="e">
        <f t="shared" si="39"/>
        <v>#VALUE!</v>
      </c>
      <c r="D417" s="925" t="e">
        <f t="shared" si="40"/>
        <v>#VALUE!</v>
      </c>
      <c r="E417" s="925" t="e">
        <f t="shared" si="41"/>
        <v>#VALUE!</v>
      </c>
      <c r="F417" s="926" t="e">
        <f t="shared" si="42"/>
        <v>#VALUE!</v>
      </c>
      <c r="G417" s="927"/>
    </row>
    <row r="418" spans="1:7" x14ac:dyDescent="0.2">
      <c r="A418" s="934">
        <v>409</v>
      </c>
      <c r="B418" s="935">
        <v>56766</v>
      </c>
      <c r="C418" s="936" t="e">
        <f t="shared" si="39"/>
        <v>#VALUE!</v>
      </c>
      <c r="D418" s="937" t="e">
        <f t="shared" si="40"/>
        <v>#VALUE!</v>
      </c>
      <c r="E418" s="937" t="e">
        <f t="shared" si="41"/>
        <v>#VALUE!</v>
      </c>
      <c r="F418" s="938" t="e">
        <f t="shared" si="42"/>
        <v>#VALUE!</v>
      </c>
      <c r="G418" s="919"/>
    </row>
    <row r="419" spans="1:7" x14ac:dyDescent="0.2">
      <c r="A419" s="920">
        <v>410</v>
      </c>
      <c r="B419" s="921">
        <v>56796</v>
      </c>
      <c r="C419" s="916" t="e">
        <f t="shared" si="39"/>
        <v>#VALUE!</v>
      </c>
      <c r="D419" s="917" t="e">
        <f t="shared" si="40"/>
        <v>#VALUE!</v>
      </c>
      <c r="E419" s="917" t="e">
        <f t="shared" si="41"/>
        <v>#VALUE!</v>
      </c>
      <c r="F419" s="918" t="e">
        <f t="shared" si="42"/>
        <v>#VALUE!</v>
      </c>
      <c r="G419" s="919"/>
    </row>
    <row r="420" spans="1:7" x14ac:dyDescent="0.2">
      <c r="A420" s="920">
        <v>411</v>
      </c>
      <c r="B420" s="921">
        <v>56827</v>
      </c>
      <c r="C420" s="916" t="e">
        <f t="shared" si="39"/>
        <v>#VALUE!</v>
      </c>
      <c r="D420" s="917" t="e">
        <f t="shared" si="40"/>
        <v>#VALUE!</v>
      </c>
      <c r="E420" s="917" t="e">
        <f t="shared" si="41"/>
        <v>#VALUE!</v>
      </c>
      <c r="F420" s="918" t="e">
        <f t="shared" si="42"/>
        <v>#VALUE!</v>
      </c>
      <c r="G420" s="919"/>
    </row>
    <row r="421" spans="1:7" x14ac:dyDescent="0.2">
      <c r="A421" s="920">
        <v>412</v>
      </c>
      <c r="B421" s="921">
        <v>56858</v>
      </c>
      <c r="C421" s="916" t="e">
        <f t="shared" si="39"/>
        <v>#VALUE!</v>
      </c>
      <c r="D421" s="917" t="e">
        <f t="shared" si="40"/>
        <v>#VALUE!</v>
      </c>
      <c r="E421" s="917" t="e">
        <f t="shared" si="41"/>
        <v>#VALUE!</v>
      </c>
      <c r="F421" s="918" t="e">
        <f t="shared" si="42"/>
        <v>#VALUE!</v>
      </c>
      <c r="G421" s="919"/>
    </row>
    <row r="422" spans="1:7" x14ac:dyDescent="0.2">
      <c r="A422" s="920">
        <v>413</v>
      </c>
      <c r="B422" s="921">
        <v>56888</v>
      </c>
      <c r="C422" s="916" t="e">
        <f t="shared" si="39"/>
        <v>#VALUE!</v>
      </c>
      <c r="D422" s="917" t="e">
        <f t="shared" si="40"/>
        <v>#VALUE!</v>
      </c>
      <c r="E422" s="917" t="e">
        <f t="shared" si="41"/>
        <v>#VALUE!</v>
      </c>
      <c r="F422" s="918" t="e">
        <f t="shared" si="42"/>
        <v>#VALUE!</v>
      </c>
      <c r="G422" s="919"/>
    </row>
    <row r="423" spans="1:7" x14ac:dyDescent="0.2">
      <c r="A423" s="920">
        <v>414</v>
      </c>
      <c r="B423" s="921">
        <v>56919</v>
      </c>
      <c r="C423" s="916" t="e">
        <f t="shared" si="39"/>
        <v>#VALUE!</v>
      </c>
      <c r="D423" s="917" t="e">
        <f t="shared" si="40"/>
        <v>#VALUE!</v>
      </c>
      <c r="E423" s="917" t="e">
        <f t="shared" si="41"/>
        <v>#VALUE!</v>
      </c>
      <c r="F423" s="918" t="e">
        <f t="shared" si="42"/>
        <v>#VALUE!</v>
      </c>
      <c r="G423" s="919"/>
    </row>
    <row r="424" spans="1:7" x14ac:dyDescent="0.2">
      <c r="A424" s="920">
        <v>415</v>
      </c>
      <c r="B424" s="921">
        <v>56949</v>
      </c>
      <c r="C424" s="916" t="e">
        <f t="shared" si="39"/>
        <v>#VALUE!</v>
      </c>
      <c r="D424" s="917" t="e">
        <f t="shared" si="40"/>
        <v>#VALUE!</v>
      </c>
      <c r="E424" s="917" t="e">
        <f t="shared" si="41"/>
        <v>#VALUE!</v>
      </c>
      <c r="F424" s="918" t="e">
        <f t="shared" si="42"/>
        <v>#VALUE!</v>
      </c>
      <c r="G424" s="919"/>
    </row>
    <row r="425" spans="1:7" x14ac:dyDescent="0.2">
      <c r="A425" s="920">
        <v>416</v>
      </c>
      <c r="B425" s="921">
        <v>56980</v>
      </c>
      <c r="C425" s="916" t="e">
        <f t="shared" si="39"/>
        <v>#VALUE!</v>
      </c>
      <c r="D425" s="917" t="e">
        <f t="shared" si="40"/>
        <v>#VALUE!</v>
      </c>
      <c r="E425" s="917" t="e">
        <f t="shared" si="41"/>
        <v>#VALUE!</v>
      </c>
      <c r="F425" s="918" t="e">
        <f t="shared" si="42"/>
        <v>#VALUE!</v>
      </c>
      <c r="G425" s="919"/>
    </row>
    <row r="426" spans="1:7" x14ac:dyDescent="0.2">
      <c r="A426" s="920">
        <v>417</v>
      </c>
      <c r="B426" s="921">
        <v>57011</v>
      </c>
      <c r="C426" s="916" t="e">
        <f t="shared" si="39"/>
        <v>#VALUE!</v>
      </c>
      <c r="D426" s="917" t="e">
        <f t="shared" si="40"/>
        <v>#VALUE!</v>
      </c>
      <c r="E426" s="917" t="e">
        <f t="shared" si="41"/>
        <v>#VALUE!</v>
      </c>
      <c r="F426" s="918" t="e">
        <f t="shared" si="42"/>
        <v>#VALUE!</v>
      </c>
      <c r="G426" s="919"/>
    </row>
    <row r="427" spans="1:7" x14ac:dyDescent="0.2">
      <c r="A427" s="920">
        <v>418</v>
      </c>
      <c r="B427" s="921">
        <v>57040</v>
      </c>
      <c r="C427" s="916" t="e">
        <f t="shared" si="39"/>
        <v>#VALUE!</v>
      </c>
      <c r="D427" s="917" t="e">
        <f t="shared" si="40"/>
        <v>#VALUE!</v>
      </c>
      <c r="E427" s="917" t="e">
        <f t="shared" si="41"/>
        <v>#VALUE!</v>
      </c>
      <c r="F427" s="918" t="e">
        <f t="shared" si="42"/>
        <v>#VALUE!</v>
      </c>
      <c r="G427" s="919"/>
    </row>
    <row r="428" spans="1:7" x14ac:dyDescent="0.2">
      <c r="A428" s="920">
        <v>419</v>
      </c>
      <c r="B428" s="921">
        <v>57071</v>
      </c>
      <c r="C428" s="916" t="e">
        <f t="shared" si="39"/>
        <v>#VALUE!</v>
      </c>
      <c r="D428" s="917" t="e">
        <f t="shared" si="40"/>
        <v>#VALUE!</v>
      </c>
      <c r="E428" s="917" t="e">
        <f t="shared" si="41"/>
        <v>#VALUE!</v>
      </c>
      <c r="F428" s="918" t="e">
        <f t="shared" si="42"/>
        <v>#VALUE!</v>
      </c>
      <c r="G428" s="919"/>
    </row>
    <row r="429" spans="1:7" ht="15" thickBot="1" x14ac:dyDescent="0.25">
      <c r="A429" s="922">
        <v>420</v>
      </c>
      <c r="B429" s="923">
        <v>57101</v>
      </c>
      <c r="C429" s="924" t="e">
        <f t="shared" si="39"/>
        <v>#VALUE!</v>
      </c>
      <c r="D429" s="925" t="e">
        <f t="shared" si="40"/>
        <v>#VALUE!</v>
      </c>
      <c r="E429" s="925" t="e">
        <f t="shared" si="41"/>
        <v>#VALUE!</v>
      </c>
      <c r="F429" s="926" t="e">
        <f t="shared" si="42"/>
        <v>#VALUE!</v>
      </c>
      <c r="G429" s="927"/>
    </row>
    <row r="430" spans="1:7" x14ac:dyDescent="0.2">
      <c r="A430" s="934">
        <v>421</v>
      </c>
      <c r="B430" s="935">
        <v>57132</v>
      </c>
      <c r="C430" s="936" t="e">
        <f t="shared" si="39"/>
        <v>#VALUE!</v>
      </c>
      <c r="D430" s="937" t="e">
        <f t="shared" si="40"/>
        <v>#VALUE!</v>
      </c>
      <c r="E430" s="937" t="e">
        <f t="shared" si="41"/>
        <v>#VALUE!</v>
      </c>
      <c r="F430" s="938" t="e">
        <f t="shared" si="42"/>
        <v>#VALUE!</v>
      </c>
      <c r="G430" s="919"/>
    </row>
    <row r="431" spans="1:7" x14ac:dyDescent="0.2">
      <c r="A431" s="920">
        <v>422</v>
      </c>
      <c r="B431" s="921">
        <v>57162</v>
      </c>
      <c r="C431" s="916" t="e">
        <f t="shared" si="39"/>
        <v>#VALUE!</v>
      </c>
      <c r="D431" s="917" t="e">
        <f t="shared" si="40"/>
        <v>#VALUE!</v>
      </c>
      <c r="E431" s="917" t="e">
        <f t="shared" si="41"/>
        <v>#VALUE!</v>
      </c>
      <c r="F431" s="918" t="e">
        <f t="shared" si="42"/>
        <v>#VALUE!</v>
      </c>
      <c r="G431" s="919"/>
    </row>
    <row r="432" spans="1:7" x14ac:dyDescent="0.2">
      <c r="A432" s="920">
        <v>423</v>
      </c>
      <c r="B432" s="921">
        <v>57193</v>
      </c>
      <c r="C432" s="916" t="e">
        <f t="shared" si="39"/>
        <v>#VALUE!</v>
      </c>
      <c r="D432" s="917" t="e">
        <f t="shared" si="40"/>
        <v>#VALUE!</v>
      </c>
      <c r="E432" s="917" t="e">
        <f t="shared" si="41"/>
        <v>#VALUE!</v>
      </c>
      <c r="F432" s="918" t="e">
        <f t="shared" si="42"/>
        <v>#VALUE!</v>
      </c>
      <c r="G432" s="919"/>
    </row>
    <row r="433" spans="1:7" x14ac:dyDescent="0.2">
      <c r="A433" s="920">
        <v>424</v>
      </c>
      <c r="B433" s="921">
        <v>57224</v>
      </c>
      <c r="C433" s="916" t="e">
        <f t="shared" si="39"/>
        <v>#VALUE!</v>
      </c>
      <c r="D433" s="917" t="e">
        <f t="shared" si="40"/>
        <v>#VALUE!</v>
      </c>
      <c r="E433" s="917" t="e">
        <f t="shared" si="41"/>
        <v>#VALUE!</v>
      </c>
      <c r="F433" s="918" t="e">
        <f t="shared" si="42"/>
        <v>#VALUE!</v>
      </c>
      <c r="G433" s="919"/>
    </row>
    <row r="434" spans="1:7" x14ac:dyDescent="0.2">
      <c r="A434" s="920">
        <v>425</v>
      </c>
      <c r="B434" s="921">
        <v>57254</v>
      </c>
      <c r="C434" s="916" t="e">
        <f t="shared" ref="C434:C489" si="43">C433-D434</f>
        <v>#VALUE!</v>
      </c>
      <c r="D434" s="917" t="e">
        <f t="shared" ref="D434:D489" si="44">-PPMT($C$4/12,A434,$F$4*$F$6,$C$3)</f>
        <v>#VALUE!</v>
      </c>
      <c r="E434" s="917" t="e">
        <f t="shared" ref="E434:E489" si="45">F434-D434</f>
        <v>#VALUE!</v>
      </c>
      <c r="F434" s="918" t="e">
        <f t="shared" si="42"/>
        <v>#VALUE!</v>
      </c>
      <c r="G434" s="919"/>
    </row>
    <row r="435" spans="1:7" x14ac:dyDescent="0.2">
      <c r="A435" s="920">
        <v>426</v>
      </c>
      <c r="B435" s="921">
        <v>57285</v>
      </c>
      <c r="C435" s="916" t="e">
        <f t="shared" si="43"/>
        <v>#VALUE!</v>
      </c>
      <c r="D435" s="917" t="e">
        <f t="shared" si="44"/>
        <v>#VALUE!</v>
      </c>
      <c r="E435" s="917" t="e">
        <f t="shared" si="45"/>
        <v>#VALUE!</v>
      </c>
      <c r="F435" s="918" t="e">
        <f t="shared" si="42"/>
        <v>#VALUE!</v>
      </c>
      <c r="G435" s="919"/>
    </row>
    <row r="436" spans="1:7" x14ac:dyDescent="0.2">
      <c r="A436" s="920">
        <v>427</v>
      </c>
      <c r="B436" s="921">
        <v>57315</v>
      </c>
      <c r="C436" s="916" t="e">
        <f t="shared" si="43"/>
        <v>#VALUE!</v>
      </c>
      <c r="D436" s="917" t="e">
        <f t="shared" si="44"/>
        <v>#VALUE!</v>
      </c>
      <c r="E436" s="917" t="e">
        <f t="shared" si="45"/>
        <v>#VALUE!</v>
      </c>
      <c r="F436" s="918" t="e">
        <f t="shared" si="42"/>
        <v>#VALUE!</v>
      </c>
      <c r="G436" s="919"/>
    </row>
    <row r="437" spans="1:7" x14ac:dyDescent="0.2">
      <c r="A437" s="920">
        <v>428</v>
      </c>
      <c r="B437" s="921">
        <v>57346</v>
      </c>
      <c r="C437" s="916" t="e">
        <f t="shared" si="43"/>
        <v>#VALUE!</v>
      </c>
      <c r="D437" s="917" t="e">
        <f t="shared" si="44"/>
        <v>#VALUE!</v>
      </c>
      <c r="E437" s="917" t="e">
        <f t="shared" si="45"/>
        <v>#VALUE!</v>
      </c>
      <c r="F437" s="918" t="e">
        <f t="shared" si="42"/>
        <v>#VALUE!</v>
      </c>
      <c r="G437" s="919"/>
    </row>
    <row r="438" spans="1:7" x14ac:dyDescent="0.2">
      <c r="A438" s="920">
        <v>429</v>
      </c>
      <c r="B438" s="921">
        <v>57377</v>
      </c>
      <c r="C438" s="916" t="e">
        <f t="shared" si="43"/>
        <v>#VALUE!</v>
      </c>
      <c r="D438" s="917" t="e">
        <f t="shared" si="44"/>
        <v>#VALUE!</v>
      </c>
      <c r="E438" s="917" t="e">
        <f t="shared" si="45"/>
        <v>#VALUE!</v>
      </c>
      <c r="F438" s="918" t="e">
        <f t="shared" si="42"/>
        <v>#VALUE!</v>
      </c>
      <c r="G438" s="919"/>
    </row>
    <row r="439" spans="1:7" x14ac:dyDescent="0.2">
      <c r="A439" s="920">
        <v>430</v>
      </c>
      <c r="B439" s="921">
        <v>57405</v>
      </c>
      <c r="C439" s="916" t="e">
        <f t="shared" si="43"/>
        <v>#VALUE!</v>
      </c>
      <c r="D439" s="917" t="e">
        <f t="shared" si="44"/>
        <v>#VALUE!</v>
      </c>
      <c r="E439" s="917" t="e">
        <f t="shared" si="45"/>
        <v>#VALUE!</v>
      </c>
      <c r="F439" s="918" t="e">
        <f t="shared" si="42"/>
        <v>#VALUE!</v>
      </c>
      <c r="G439" s="919"/>
    </row>
    <row r="440" spans="1:7" x14ac:dyDescent="0.2">
      <c r="A440" s="920">
        <v>431</v>
      </c>
      <c r="B440" s="921">
        <v>57436</v>
      </c>
      <c r="C440" s="916" t="e">
        <f t="shared" si="43"/>
        <v>#VALUE!</v>
      </c>
      <c r="D440" s="917" t="e">
        <f t="shared" si="44"/>
        <v>#VALUE!</v>
      </c>
      <c r="E440" s="917" t="e">
        <f t="shared" si="45"/>
        <v>#VALUE!</v>
      </c>
      <c r="F440" s="918" t="e">
        <f t="shared" si="42"/>
        <v>#VALUE!</v>
      </c>
      <c r="G440" s="919"/>
    </row>
    <row r="441" spans="1:7" ht="15" thickBot="1" x14ac:dyDescent="0.25">
      <c r="A441" s="922">
        <v>432</v>
      </c>
      <c r="B441" s="923">
        <v>57466</v>
      </c>
      <c r="C441" s="924" t="e">
        <f t="shared" si="43"/>
        <v>#VALUE!</v>
      </c>
      <c r="D441" s="925" t="e">
        <f t="shared" si="44"/>
        <v>#VALUE!</v>
      </c>
      <c r="E441" s="925" t="e">
        <f t="shared" si="45"/>
        <v>#VALUE!</v>
      </c>
      <c r="F441" s="926" t="e">
        <f t="shared" si="42"/>
        <v>#VALUE!</v>
      </c>
      <c r="G441" s="927"/>
    </row>
    <row r="442" spans="1:7" x14ac:dyDescent="0.2">
      <c r="A442" s="934">
        <v>433</v>
      </c>
      <c r="B442" s="935">
        <v>57497</v>
      </c>
      <c r="C442" s="936" t="e">
        <f t="shared" si="43"/>
        <v>#VALUE!</v>
      </c>
      <c r="D442" s="937" t="e">
        <f t="shared" si="44"/>
        <v>#VALUE!</v>
      </c>
      <c r="E442" s="937" t="e">
        <f t="shared" si="45"/>
        <v>#VALUE!</v>
      </c>
      <c r="F442" s="938" t="e">
        <f t="shared" si="42"/>
        <v>#VALUE!</v>
      </c>
      <c r="G442" s="919"/>
    </row>
    <row r="443" spans="1:7" x14ac:dyDescent="0.2">
      <c r="A443" s="920">
        <v>434</v>
      </c>
      <c r="B443" s="921">
        <v>57527</v>
      </c>
      <c r="C443" s="916" t="e">
        <f t="shared" si="43"/>
        <v>#VALUE!</v>
      </c>
      <c r="D443" s="917" t="e">
        <f t="shared" si="44"/>
        <v>#VALUE!</v>
      </c>
      <c r="E443" s="917" t="e">
        <f t="shared" si="45"/>
        <v>#VALUE!</v>
      </c>
      <c r="F443" s="918" t="e">
        <f t="shared" si="42"/>
        <v>#VALUE!</v>
      </c>
      <c r="G443" s="919"/>
    </row>
    <row r="444" spans="1:7" x14ac:dyDescent="0.2">
      <c r="A444" s="920">
        <v>435</v>
      </c>
      <c r="B444" s="921">
        <v>57558</v>
      </c>
      <c r="C444" s="916" t="e">
        <f t="shared" si="43"/>
        <v>#VALUE!</v>
      </c>
      <c r="D444" s="917" t="e">
        <f t="shared" si="44"/>
        <v>#VALUE!</v>
      </c>
      <c r="E444" s="917" t="e">
        <f t="shared" si="45"/>
        <v>#VALUE!</v>
      </c>
      <c r="F444" s="918" t="e">
        <f t="shared" si="42"/>
        <v>#VALUE!</v>
      </c>
      <c r="G444" s="919"/>
    </row>
    <row r="445" spans="1:7" x14ac:dyDescent="0.2">
      <c r="A445" s="920">
        <v>436</v>
      </c>
      <c r="B445" s="921">
        <v>57589</v>
      </c>
      <c r="C445" s="916" t="e">
        <f t="shared" si="43"/>
        <v>#VALUE!</v>
      </c>
      <c r="D445" s="917" t="e">
        <f t="shared" si="44"/>
        <v>#VALUE!</v>
      </c>
      <c r="E445" s="917" t="e">
        <f t="shared" si="45"/>
        <v>#VALUE!</v>
      </c>
      <c r="F445" s="918" t="e">
        <f t="shared" si="42"/>
        <v>#VALUE!</v>
      </c>
      <c r="G445" s="919"/>
    </row>
    <row r="446" spans="1:7" x14ac:dyDescent="0.2">
      <c r="A446" s="920">
        <v>437</v>
      </c>
      <c r="B446" s="921">
        <v>57619</v>
      </c>
      <c r="C446" s="916" t="e">
        <f t="shared" si="43"/>
        <v>#VALUE!</v>
      </c>
      <c r="D446" s="917" t="e">
        <f t="shared" si="44"/>
        <v>#VALUE!</v>
      </c>
      <c r="E446" s="917" t="e">
        <f t="shared" si="45"/>
        <v>#VALUE!</v>
      </c>
      <c r="F446" s="918" t="e">
        <f t="shared" si="42"/>
        <v>#VALUE!</v>
      </c>
      <c r="G446" s="919"/>
    </row>
    <row r="447" spans="1:7" x14ac:dyDescent="0.2">
      <c r="A447" s="920">
        <v>438</v>
      </c>
      <c r="B447" s="921">
        <v>57650</v>
      </c>
      <c r="C447" s="916" t="e">
        <f t="shared" si="43"/>
        <v>#VALUE!</v>
      </c>
      <c r="D447" s="917" t="e">
        <f t="shared" si="44"/>
        <v>#VALUE!</v>
      </c>
      <c r="E447" s="917" t="e">
        <f t="shared" si="45"/>
        <v>#VALUE!</v>
      </c>
      <c r="F447" s="918" t="e">
        <f t="shared" si="42"/>
        <v>#VALUE!</v>
      </c>
      <c r="G447" s="919"/>
    </row>
    <row r="448" spans="1:7" x14ac:dyDescent="0.2">
      <c r="A448" s="920">
        <v>439</v>
      </c>
      <c r="B448" s="921">
        <v>57680</v>
      </c>
      <c r="C448" s="916" t="e">
        <f t="shared" si="43"/>
        <v>#VALUE!</v>
      </c>
      <c r="D448" s="917" t="e">
        <f t="shared" si="44"/>
        <v>#VALUE!</v>
      </c>
      <c r="E448" s="917" t="e">
        <f t="shared" si="45"/>
        <v>#VALUE!</v>
      </c>
      <c r="F448" s="918" t="e">
        <f t="shared" si="42"/>
        <v>#VALUE!</v>
      </c>
      <c r="G448" s="919"/>
    </row>
    <row r="449" spans="1:7" x14ac:dyDescent="0.2">
      <c r="A449" s="920">
        <v>440</v>
      </c>
      <c r="B449" s="921">
        <v>57711</v>
      </c>
      <c r="C449" s="916" t="e">
        <f t="shared" si="43"/>
        <v>#VALUE!</v>
      </c>
      <c r="D449" s="917" t="e">
        <f t="shared" si="44"/>
        <v>#VALUE!</v>
      </c>
      <c r="E449" s="917" t="e">
        <f t="shared" si="45"/>
        <v>#VALUE!</v>
      </c>
      <c r="F449" s="918" t="e">
        <f t="shared" si="42"/>
        <v>#VALUE!</v>
      </c>
      <c r="G449" s="919"/>
    </row>
    <row r="450" spans="1:7" x14ac:dyDescent="0.2">
      <c r="A450" s="920">
        <v>441</v>
      </c>
      <c r="B450" s="921">
        <v>57742</v>
      </c>
      <c r="C450" s="916" t="e">
        <f t="shared" si="43"/>
        <v>#VALUE!</v>
      </c>
      <c r="D450" s="917" t="e">
        <f t="shared" si="44"/>
        <v>#VALUE!</v>
      </c>
      <c r="E450" s="917" t="e">
        <f t="shared" si="45"/>
        <v>#VALUE!</v>
      </c>
      <c r="F450" s="918" t="e">
        <f t="shared" si="42"/>
        <v>#VALUE!</v>
      </c>
      <c r="G450" s="919"/>
    </row>
    <row r="451" spans="1:7" x14ac:dyDescent="0.2">
      <c r="A451" s="920">
        <v>442</v>
      </c>
      <c r="B451" s="921">
        <v>57770</v>
      </c>
      <c r="C451" s="916" t="e">
        <f t="shared" si="43"/>
        <v>#VALUE!</v>
      </c>
      <c r="D451" s="917" t="e">
        <f t="shared" si="44"/>
        <v>#VALUE!</v>
      </c>
      <c r="E451" s="917" t="e">
        <f t="shared" si="45"/>
        <v>#VALUE!</v>
      </c>
      <c r="F451" s="918" t="e">
        <f t="shared" si="42"/>
        <v>#VALUE!</v>
      </c>
      <c r="G451" s="919"/>
    </row>
    <row r="452" spans="1:7" x14ac:dyDescent="0.2">
      <c r="A452" s="920">
        <v>443</v>
      </c>
      <c r="B452" s="921">
        <v>57801</v>
      </c>
      <c r="C452" s="916" t="e">
        <f t="shared" si="43"/>
        <v>#VALUE!</v>
      </c>
      <c r="D452" s="917" t="e">
        <f t="shared" si="44"/>
        <v>#VALUE!</v>
      </c>
      <c r="E452" s="917" t="e">
        <f t="shared" si="45"/>
        <v>#VALUE!</v>
      </c>
      <c r="F452" s="918" t="e">
        <f t="shared" si="42"/>
        <v>#VALUE!</v>
      </c>
      <c r="G452" s="919"/>
    </row>
    <row r="453" spans="1:7" ht="15" thickBot="1" x14ac:dyDescent="0.25">
      <c r="A453" s="922">
        <v>444</v>
      </c>
      <c r="B453" s="923">
        <v>57831</v>
      </c>
      <c r="C453" s="924" t="e">
        <f t="shared" si="43"/>
        <v>#VALUE!</v>
      </c>
      <c r="D453" s="925" t="e">
        <f t="shared" si="44"/>
        <v>#VALUE!</v>
      </c>
      <c r="E453" s="925" t="e">
        <f t="shared" si="45"/>
        <v>#VALUE!</v>
      </c>
      <c r="F453" s="926" t="e">
        <f t="shared" si="42"/>
        <v>#VALUE!</v>
      </c>
      <c r="G453" s="927"/>
    </row>
    <row r="454" spans="1:7" x14ac:dyDescent="0.2">
      <c r="A454" s="934">
        <v>445</v>
      </c>
      <c r="B454" s="935">
        <v>57862</v>
      </c>
      <c r="C454" s="936" t="e">
        <f t="shared" si="43"/>
        <v>#VALUE!</v>
      </c>
      <c r="D454" s="937" t="e">
        <f t="shared" si="44"/>
        <v>#VALUE!</v>
      </c>
      <c r="E454" s="937" t="e">
        <f t="shared" si="45"/>
        <v>#VALUE!</v>
      </c>
      <c r="F454" s="938" t="e">
        <f t="shared" si="42"/>
        <v>#VALUE!</v>
      </c>
      <c r="G454" s="919"/>
    </row>
    <row r="455" spans="1:7" x14ac:dyDescent="0.2">
      <c r="A455" s="920">
        <v>446</v>
      </c>
      <c r="B455" s="921">
        <v>57892</v>
      </c>
      <c r="C455" s="916" t="e">
        <f t="shared" si="43"/>
        <v>#VALUE!</v>
      </c>
      <c r="D455" s="917" t="e">
        <f t="shared" si="44"/>
        <v>#VALUE!</v>
      </c>
      <c r="E455" s="917" t="e">
        <f t="shared" si="45"/>
        <v>#VALUE!</v>
      </c>
      <c r="F455" s="918" t="e">
        <f t="shared" si="42"/>
        <v>#VALUE!</v>
      </c>
      <c r="G455" s="919"/>
    </row>
    <row r="456" spans="1:7" x14ac:dyDescent="0.2">
      <c r="A456" s="920">
        <v>447</v>
      </c>
      <c r="B456" s="921">
        <v>57923</v>
      </c>
      <c r="C456" s="916" t="e">
        <f t="shared" si="43"/>
        <v>#VALUE!</v>
      </c>
      <c r="D456" s="917" t="e">
        <f t="shared" si="44"/>
        <v>#VALUE!</v>
      </c>
      <c r="E456" s="917" t="e">
        <f t="shared" si="45"/>
        <v>#VALUE!</v>
      </c>
      <c r="F456" s="918" t="e">
        <f t="shared" si="42"/>
        <v>#VALUE!</v>
      </c>
      <c r="G456" s="919"/>
    </row>
    <row r="457" spans="1:7" x14ac:dyDescent="0.2">
      <c r="A457" s="920">
        <v>448</v>
      </c>
      <c r="B457" s="921">
        <v>57954</v>
      </c>
      <c r="C457" s="916" t="e">
        <f t="shared" si="43"/>
        <v>#VALUE!</v>
      </c>
      <c r="D457" s="917" t="e">
        <f t="shared" si="44"/>
        <v>#VALUE!</v>
      </c>
      <c r="E457" s="917" t="e">
        <f t="shared" si="45"/>
        <v>#VALUE!</v>
      </c>
      <c r="F457" s="918" t="e">
        <f t="shared" si="42"/>
        <v>#VALUE!</v>
      </c>
      <c r="G457" s="919"/>
    </row>
    <row r="458" spans="1:7" x14ac:dyDescent="0.2">
      <c r="A458" s="920">
        <v>449</v>
      </c>
      <c r="B458" s="921">
        <v>57984</v>
      </c>
      <c r="C458" s="916" t="e">
        <f t="shared" si="43"/>
        <v>#VALUE!</v>
      </c>
      <c r="D458" s="917" t="e">
        <f t="shared" si="44"/>
        <v>#VALUE!</v>
      </c>
      <c r="E458" s="917" t="e">
        <f t="shared" si="45"/>
        <v>#VALUE!</v>
      </c>
      <c r="F458" s="918" t="e">
        <f t="shared" si="42"/>
        <v>#VALUE!</v>
      </c>
      <c r="G458" s="919"/>
    </row>
    <row r="459" spans="1:7" x14ac:dyDescent="0.2">
      <c r="A459" s="920">
        <v>450</v>
      </c>
      <c r="B459" s="921">
        <v>58015</v>
      </c>
      <c r="C459" s="916" t="e">
        <f t="shared" si="43"/>
        <v>#VALUE!</v>
      </c>
      <c r="D459" s="917" t="e">
        <f t="shared" si="44"/>
        <v>#VALUE!</v>
      </c>
      <c r="E459" s="917" t="e">
        <f t="shared" si="45"/>
        <v>#VALUE!</v>
      </c>
      <c r="F459" s="918" t="e">
        <f t="shared" ref="F459:F489" si="46">$F$3</f>
        <v>#VALUE!</v>
      </c>
      <c r="G459" s="919"/>
    </row>
    <row r="460" spans="1:7" x14ac:dyDescent="0.2">
      <c r="A460" s="920">
        <v>451</v>
      </c>
      <c r="B460" s="921">
        <v>58045</v>
      </c>
      <c r="C460" s="916" t="e">
        <f t="shared" si="43"/>
        <v>#VALUE!</v>
      </c>
      <c r="D460" s="917" t="e">
        <f t="shared" si="44"/>
        <v>#VALUE!</v>
      </c>
      <c r="E460" s="917" t="e">
        <f t="shared" si="45"/>
        <v>#VALUE!</v>
      </c>
      <c r="F460" s="918" t="e">
        <f t="shared" si="46"/>
        <v>#VALUE!</v>
      </c>
      <c r="G460" s="919"/>
    </row>
    <row r="461" spans="1:7" x14ac:dyDescent="0.2">
      <c r="A461" s="920">
        <v>452</v>
      </c>
      <c r="B461" s="921">
        <v>58076</v>
      </c>
      <c r="C461" s="916" t="e">
        <f t="shared" si="43"/>
        <v>#VALUE!</v>
      </c>
      <c r="D461" s="917" t="e">
        <f t="shared" si="44"/>
        <v>#VALUE!</v>
      </c>
      <c r="E461" s="917" t="e">
        <f t="shared" si="45"/>
        <v>#VALUE!</v>
      </c>
      <c r="F461" s="918" t="e">
        <f t="shared" si="46"/>
        <v>#VALUE!</v>
      </c>
      <c r="G461" s="919"/>
    </row>
    <row r="462" spans="1:7" x14ac:dyDescent="0.2">
      <c r="A462" s="920">
        <v>453</v>
      </c>
      <c r="B462" s="921">
        <v>58107</v>
      </c>
      <c r="C462" s="916" t="e">
        <f t="shared" si="43"/>
        <v>#VALUE!</v>
      </c>
      <c r="D462" s="917" t="e">
        <f t="shared" si="44"/>
        <v>#VALUE!</v>
      </c>
      <c r="E462" s="917" t="e">
        <f t="shared" si="45"/>
        <v>#VALUE!</v>
      </c>
      <c r="F462" s="918" t="e">
        <f t="shared" si="46"/>
        <v>#VALUE!</v>
      </c>
      <c r="G462" s="919"/>
    </row>
    <row r="463" spans="1:7" x14ac:dyDescent="0.2">
      <c r="A463" s="920">
        <v>454</v>
      </c>
      <c r="B463" s="921">
        <v>58135</v>
      </c>
      <c r="C463" s="916" t="e">
        <f t="shared" si="43"/>
        <v>#VALUE!</v>
      </c>
      <c r="D463" s="917" t="e">
        <f t="shared" si="44"/>
        <v>#VALUE!</v>
      </c>
      <c r="E463" s="917" t="e">
        <f t="shared" si="45"/>
        <v>#VALUE!</v>
      </c>
      <c r="F463" s="918" t="e">
        <f t="shared" si="46"/>
        <v>#VALUE!</v>
      </c>
      <c r="G463" s="919"/>
    </row>
    <row r="464" spans="1:7" x14ac:dyDescent="0.2">
      <c r="A464" s="920">
        <v>455</v>
      </c>
      <c r="B464" s="921">
        <v>58166</v>
      </c>
      <c r="C464" s="916" t="e">
        <f t="shared" si="43"/>
        <v>#VALUE!</v>
      </c>
      <c r="D464" s="917" t="e">
        <f t="shared" si="44"/>
        <v>#VALUE!</v>
      </c>
      <c r="E464" s="917" t="e">
        <f t="shared" si="45"/>
        <v>#VALUE!</v>
      </c>
      <c r="F464" s="918" t="e">
        <f t="shared" si="46"/>
        <v>#VALUE!</v>
      </c>
      <c r="G464" s="919"/>
    </row>
    <row r="465" spans="1:7" ht="15" thickBot="1" x14ac:dyDescent="0.25">
      <c r="A465" s="922">
        <v>456</v>
      </c>
      <c r="B465" s="923">
        <v>58196</v>
      </c>
      <c r="C465" s="924" t="e">
        <f t="shared" si="43"/>
        <v>#VALUE!</v>
      </c>
      <c r="D465" s="925" t="e">
        <f t="shared" si="44"/>
        <v>#VALUE!</v>
      </c>
      <c r="E465" s="925" t="e">
        <f t="shared" si="45"/>
        <v>#VALUE!</v>
      </c>
      <c r="F465" s="926" t="e">
        <f t="shared" si="46"/>
        <v>#VALUE!</v>
      </c>
      <c r="G465" s="927"/>
    </row>
    <row r="466" spans="1:7" x14ac:dyDescent="0.2">
      <c r="A466" s="934">
        <v>457</v>
      </c>
      <c r="B466" s="935">
        <v>58227</v>
      </c>
      <c r="C466" s="936" t="e">
        <f t="shared" si="43"/>
        <v>#VALUE!</v>
      </c>
      <c r="D466" s="937" t="e">
        <f t="shared" si="44"/>
        <v>#VALUE!</v>
      </c>
      <c r="E466" s="937" t="e">
        <f t="shared" si="45"/>
        <v>#VALUE!</v>
      </c>
      <c r="F466" s="938" t="e">
        <f t="shared" si="46"/>
        <v>#VALUE!</v>
      </c>
      <c r="G466" s="919"/>
    </row>
    <row r="467" spans="1:7" x14ac:dyDescent="0.2">
      <c r="A467" s="920">
        <v>458</v>
      </c>
      <c r="B467" s="921">
        <v>58257</v>
      </c>
      <c r="C467" s="916" t="e">
        <f t="shared" si="43"/>
        <v>#VALUE!</v>
      </c>
      <c r="D467" s="917" t="e">
        <f t="shared" si="44"/>
        <v>#VALUE!</v>
      </c>
      <c r="E467" s="917" t="e">
        <f t="shared" si="45"/>
        <v>#VALUE!</v>
      </c>
      <c r="F467" s="918" t="e">
        <f t="shared" si="46"/>
        <v>#VALUE!</v>
      </c>
      <c r="G467" s="919"/>
    </row>
    <row r="468" spans="1:7" x14ac:dyDescent="0.2">
      <c r="A468" s="920">
        <v>459</v>
      </c>
      <c r="B468" s="921">
        <v>58288</v>
      </c>
      <c r="C468" s="916" t="e">
        <f t="shared" si="43"/>
        <v>#VALUE!</v>
      </c>
      <c r="D468" s="917" t="e">
        <f t="shared" si="44"/>
        <v>#VALUE!</v>
      </c>
      <c r="E468" s="917" t="e">
        <f t="shared" si="45"/>
        <v>#VALUE!</v>
      </c>
      <c r="F468" s="918" t="e">
        <f t="shared" si="46"/>
        <v>#VALUE!</v>
      </c>
      <c r="G468" s="919"/>
    </row>
    <row r="469" spans="1:7" x14ac:dyDescent="0.2">
      <c r="A469" s="920">
        <v>460</v>
      </c>
      <c r="B469" s="921">
        <v>58319</v>
      </c>
      <c r="C469" s="916" t="e">
        <f t="shared" si="43"/>
        <v>#VALUE!</v>
      </c>
      <c r="D469" s="917" t="e">
        <f t="shared" si="44"/>
        <v>#VALUE!</v>
      </c>
      <c r="E469" s="917" t="e">
        <f t="shared" si="45"/>
        <v>#VALUE!</v>
      </c>
      <c r="F469" s="918" t="e">
        <f t="shared" si="46"/>
        <v>#VALUE!</v>
      </c>
      <c r="G469" s="919"/>
    </row>
    <row r="470" spans="1:7" x14ac:dyDescent="0.2">
      <c r="A470" s="920">
        <v>461</v>
      </c>
      <c r="B470" s="921">
        <v>58349</v>
      </c>
      <c r="C470" s="916" t="e">
        <f t="shared" si="43"/>
        <v>#VALUE!</v>
      </c>
      <c r="D470" s="917" t="e">
        <f t="shared" si="44"/>
        <v>#VALUE!</v>
      </c>
      <c r="E470" s="917" t="e">
        <f t="shared" si="45"/>
        <v>#VALUE!</v>
      </c>
      <c r="F470" s="918" t="e">
        <f t="shared" si="46"/>
        <v>#VALUE!</v>
      </c>
      <c r="G470" s="919"/>
    </row>
    <row r="471" spans="1:7" x14ac:dyDescent="0.2">
      <c r="A471" s="920">
        <v>462</v>
      </c>
      <c r="B471" s="921">
        <v>58380</v>
      </c>
      <c r="C471" s="916" t="e">
        <f t="shared" si="43"/>
        <v>#VALUE!</v>
      </c>
      <c r="D471" s="917" t="e">
        <f t="shared" si="44"/>
        <v>#VALUE!</v>
      </c>
      <c r="E471" s="917" t="e">
        <f t="shared" si="45"/>
        <v>#VALUE!</v>
      </c>
      <c r="F471" s="918" t="e">
        <f t="shared" si="46"/>
        <v>#VALUE!</v>
      </c>
      <c r="G471" s="919"/>
    </row>
    <row r="472" spans="1:7" x14ac:dyDescent="0.2">
      <c r="A472" s="920">
        <v>463</v>
      </c>
      <c r="B472" s="921">
        <v>58410</v>
      </c>
      <c r="C472" s="916" t="e">
        <f t="shared" si="43"/>
        <v>#VALUE!</v>
      </c>
      <c r="D472" s="917" t="e">
        <f t="shared" si="44"/>
        <v>#VALUE!</v>
      </c>
      <c r="E472" s="917" t="e">
        <f t="shared" si="45"/>
        <v>#VALUE!</v>
      </c>
      <c r="F472" s="918" t="e">
        <f t="shared" si="46"/>
        <v>#VALUE!</v>
      </c>
      <c r="G472" s="919"/>
    </row>
    <row r="473" spans="1:7" x14ac:dyDescent="0.2">
      <c r="A473" s="920">
        <v>464</v>
      </c>
      <c r="B473" s="921">
        <v>58441</v>
      </c>
      <c r="C473" s="916" t="e">
        <f t="shared" si="43"/>
        <v>#VALUE!</v>
      </c>
      <c r="D473" s="917" t="e">
        <f t="shared" si="44"/>
        <v>#VALUE!</v>
      </c>
      <c r="E473" s="917" t="e">
        <f t="shared" si="45"/>
        <v>#VALUE!</v>
      </c>
      <c r="F473" s="918" t="e">
        <f t="shared" si="46"/>
        <v>#VALUE!</v>
      </c>
      <c r="G473" s="919"/>
    </row>
    <row r="474" spans="1:7" x14ac:dyDescent="0.2">
      <c r="A474" s="920">
        <v>465</v>
      </c>
      <c r="B474" s="921">
        <v>58472</v>
      </c>
      <c r="C474" s="916" t="e">
        <f t="shared" si="43"/>
        <v>#VALUE!</v>
      </c>
      <c r="D474" s="917" t="e">
        <f t="shared" si="44"/>
        <v>#VALUE!</v>
      </c>
      <c r="E474" s="917" t="e">
        <f t="shared" si="45"/>
        <v>#VALUE!</v>
      </c>
      <c r="F474" s="918" t="e">
        <f t="shared" si="46"/>
        <v>#VALUE!</v>
      </c>
      <c r="G474" s="919"/>
    </row>
    <row r="475" spans="1:7" x14ac:dyDescent="0.2">
      <c r="A475" s="920">
        <v>466</v>
      </c>
      <c r="B475" s="921">
        <v>58501</v>
      </c>
      <c r="C475" s="916" t="e">
        <f t="shared" si="43"/>
        <v>#VALUE!</v>
      </c>
      <c r="D475" s="917" t="e">
        <f t="shared" si="44"/>
        <v>#VALUE!</v>
      </c>
      <c r="E475" s="917" t="e">
        <f t="shared" si="45"/>
        <v>#VALUE!</v>
      </c>
      <c r="F475" s="918" t="e">
        <f t="shared" si="46"/>
        <v>#VALUE!</v>
      </c>
      <c r="G475" s="919"/>
    </row>
    <row r="476" spans="1:7" x14ac:dyDescent="0.2">
      <c r="A476" s="920">
        <v>467</v>
      </c>
      <c r="B476" s="921">
        <v>58532</v>
      </c>
      <c r="C476" s="916" t="e">
        <f t="shared" si="43"/>
        <v>#VALUE!</v>
      </c>
      <c r="D476" s="917" t="e">
        <f t="shared" si="44"/>
        <v>#VALUE!</v>
      </c>
      <c r="E476" s="917" t="e">
        <f t="shared" si="45"/>
        <v>#VALUE!</v>
      </c>
      <c r="F476" s="918" t="e">
        <f t="shared" si="46"/>
        <v>#VALUE!</v>
      </c>
      <c r="G476" s="919"/>
    </row>
    <row r="477" spans="1:7" ht="15" thickBot="1" x14ac:dyDescent="0.25">
      <c r="A477" s="922">
        <v>468</v>
      </c>
      <c r="B477" s="923">
        <v>58562</v>
      </c>
      <c r="C477" s="924" t="e">
        <f t="shared" si="43"/>
        <v>#VALUE!</v>
      </c>
      <c r="D477" s="925" t="e">
        <f t="shared" si="44"/>
        <v>#VALUE!</v>
      </c>
      <c r="E477" s="925" t="e">
        <f t="shared" si="45"/>
        <v>#VALUE!</v>
      </c>
      <c r="F477" s="926" t="e">
        <f t="shared" si="46"/>
        <v>#VALUE!</v>
      </c>
      <c r="G477" s="927"/>
    </row>
    <row r="478" spans="1:7" x14ac:dyDescent="0.2">
      <c r="A478" s="934">
        <v>469</v>
      </c>
      <c r="B478" s="935">
        <v>58593</v>
      </c>
      <c r="C478" s="936" t="e">
        <f t="shared" si="43"/>
        <v>#VALUE!</v>
      </c>
      <c r="D478" s="937" t="e">
        <f t="shared" si="44"/>
        <v>#VALUE!</v>
      </c>
      <c r="E478" s="937" t="e">
        <f t="shared" si="45"/>
        <v>#VALUE!</v>
      </c>
      <c r="F478" s="938" t="e">
        <f t="shared" si="46"/>
        <v>#VALUE!</v>
      </c>
      <c r="G478" s="919"/>
    </row>
    <row r="479" spans="1:7" x14ac:dyDescent="0.2">
      <c r="A479" s="920">
        <v>470</v>
      </c>
      <c r="B479" s="921">
        <v>58623</v>
      </c>
      <c r="C479" s="916" t="e">
        <f t="shared" si="43"/>
        <v>#VALUE!</v>
      </c>
      <c r="D479" s="917" t="e">
        <f t="shared" si="44"/>
        <v>#VALUE!</v>
      </c>
      <c r="E479" s="917" t="e">
        <f t="shared" si="45"/>
        <v>#VALUE!</v>
      </c>
      <c r="F479" s="918" t="e">
        <f t="shared" si="46"/>
        <v>#VALUE!</v>
      </c>
      <c r="G479" s="919"/>
    </row>
    <row r="480" spans="1:7" x14ac:dyDescent="0.2">
      <c r="A480" s="920">
        <v>471</v>
      </c>
      <c r="B480" s="921">
        <v>58654</v>
      </c>
      <c r="C480" s="916" t="e">
        <f t="shared" si="43"/>
        <v>#VALUE!</v>
      </c>
      <c r="D480" s="917" t="e">
        <f t="shared" si="44"/>
        <v>#VALUE!</v>
      </c>
      <c r="E480" s="917" t="e">
        <f t="shared" si="45"/>
        <v>#VALUE!</v>
      </c>
      <c r="F480" s="918" t="e">
        <f t="shared" si="46"/>
        <v>#VALUE!</v>
      </c>
      <c r="G480" s="919"/>
    </row>
    <row r="481" spans="1:7" x14ac:dyDescent="0.2">
      <c r="A481" s="920">
        <v>472</v>
      </c>
      <c r="B481" s="921">
        <v>58685</v>
      </c>
      <c r="C481" s="916" t="e">
        <f t="shared" si="43"/>
        <v>#VALUE!</v>
      </c>
      <c r="D481" s="917" t="e">
        <f t="shared" si="44"/>
        <v>#VALUE!</v>
      </c>
      <c r="E481" s="917" t="e">
        <f t="shared" si="45"/>
        <v>#VALUE!</v>
      </c>
      <c r="F481" s="918" t="e">
        <f t="shared" si="46"/>
        <v>#VALUE!</v>
      </c>
      <c r="G481" s="919"/>
    </row>
    <row r="482" spans="1:7" x14ac:dyDescent="0.2">
      <c r="A482" s="920">
        <v>473</v>
      </c>
      <c r="B482" s="921">
        <v>58715</v>
      </c>
      <c r="C482" s="916" t="e">
        <f t="shared" si="43"/>
        <v>#VALUE!</v>
      </c>
      <c r="D482" s="917" t="e">
        <f t="shared" si="44"/>
        <v>#VALUE!</v>
      </c>
      <c r="E482" s="917" t="e">
        <f t="shared" si="45"/>
        <v>#VALUE!</v>
      </c>
      <c r="F482" s="918" t="e">
        <f t="shared" si="46"/>
        <v>#VALUE!</v>
      </c>
      <c r="G482" s="919"/>
    </row>
    <row r="483" spans="1:7" x14ac:dyDescent="0.2">
      <c r="A483" s="920">
        <v>474</v>
      </c>
      <c r="B483" s="921">
        <v>58746</v>
      </c>
      <c r="C483" s="916" t="e">
        <f t="shared" si="43"/>
        <v>#VALUE!</v>
      </c>
      <c r="D483" s="917" t="e">
        <f t="shared" si="44"/>
        <v>#VALUE!</v>
      </c>
      <c r="E483" s="917" t="e">
        <f t="shared" si="45"/>
        <v>#VALUE!</v>
      </c>
      <c r="F483" s="918" t="e">
        <f t="shared" si="46"/>
        <v>#VALUE!</v>
      </c>
      <c r="G483" s="919"/>
    </row>
    <row r="484" spans="1:7" x14ac:dyDescent="0.2">
      <c r="A484" s="920">
        <v>475</v>
      </c>
      <c r="B484" s="921">
        <v>58776</v>
      </c>
      <c r="C484" s="916" t="e">
        <f t="shared" si="43"/>
        <v>#VALUE!</v>
      </c>
      <c r="D484" s="917" t="e">
        <f t="shared" si="44"/>
        <v>#VALUE!</v>
      </c>
      <c r="E484" s="917" t="e">
        <f t="shared" si="45"/>
        <v>#VALUE!</v>
      </c>
      <c r="F484" s="918" t="e">
        <f t="shared" si="46"/>
        <v>#VALUE!</v>
      </c>
      <c r="G484" s="919"/>
    </row>
    <row r="485" spans="1:7" x14ac:dyDescent="0.2">
      <c r="A485" s="920">
        <v>476</v>
      </c>
      <c r="B485" s="921">
        <v>58807</v>
      </c>
      <c r="C485" s="916" t="e">
        <f t="shared" si="43"/>
        <v>#VALUE!</v>
      </c>
      <c r="D485" s="917" t="e">
        <f t="shared" si="44"/>
        <v>#VALUE!</v>
      </c>
      <c r="E485" s="917" t="e">
        <f t="shared" si="45"/>
        <v>#VALUE!</v>
      </c>
      <c r="F485" s="918" t="e">
        <f t="shared" si="46"/>
        <v>#VALUE!</v>
      </c>
      <c r="G485" s="919"/>
    </row>
    <row r="486" spans="1:7" x14ac:dyDescent="0.2">
      <c r="A486" s="920">
        <v>477</v>
      </c>
      <c r="B486" s="921">
        <v>58838</v>
      </c>
      <c r="C486" s="916" t="e">
        <f t="shared" si="43"/>
        <v>#VALUE!</v>
      </c>
      <c r="D486" s="917" t="e">
        <f t="shared" si="44"/>
        <v>#VALUE!</v>
      </c>
      <c r="E486" s="917" t="e">
        <f t="shared" si="45"/>
        <v>#VALUE!</v>
      </c>
      <c r="F486" s="918" t="e">
        <f t="shared" si="46"/>
        <v>#VALUE!</v>
      </c>
      <c r="G486" s="919"/>
    </row>
    <row r="487" spans="1:7" x14ac:dyDescent="0.2">
      <c r="A487" s="920">
        <v>478</v>
      </c>
      <c r="B487" s="921">
        <v>58866</v>
      </c>
      <c r="C487" s="916" t="e">
        <f t="shared" si="43"/>
        <v>#VALUE!</v>
      </c>
      <c r="D487" s="917" t="e">
        <f t="shared" si="44"/>
        <v>#VALUE!</v>
      </c>
      <c r="E487" s="917" t="e">
        <f t="shared" si="45"/>
        <v>#VALUE!</v>
      </c>
      <c r="F487" s="918" t="e">
        <f t="shared" si="46"/>
        <v>#VALUE!</v>
      </c>
      <c r="G487" s="919"/>
    </row>
    <row r="488" spans="1:7" x14ac:dyDescent="0.2">
      <c r="A488" s="920">
        <v>479</v>
      </c>
      <c r="B488" s="921">
        <v>58897</v>
      </c>
      <c r="C488" s="916" t="e">
        <f t="shared" si="43"/>
        <v>#VALUE!</v>
      </c>
      <c r="D488" s="917" t="e">
        <f t="shared" si="44"/>
        <v>#VALUE!</v>
      </c>
      <c r="E488" s="917" t="e">
        <f t="shared" si="45"/>
        <v>#VALUE!</v>
      </c>
      <c r="F488" s="918" t="e">
        <f t="shared" si="46"/>
        <v>#VALUE!</v>
      </c>
      <c r="G488" s="919"/>
    </row>
    <row r="489" spans="1:7" ht="15" thickBot="1" x14ac:dyDescent="0.25">
      <c r="A489" s="922">
        <v>480</v>
      </c>
      <c r="B489" s="923">
        <v>58927</v>
      </c>
      <c r="C489" s="924" t="e">
        <f t="shared" si="43"/>
        <v>#VALUE!</v>
      </c>
      <c r="D489" s="925" t="e">
        <f t="shared" si="44"/>
        <v>#VALUE!</v>
      </c>
      <c r="E489" s="925" t="e">
        <f t="shared" si="45"/>
        <v>#VALUE!</v>
      </c>
      <c r="F489" s="926" t="e">
        <f t="shared" si="46"/>
        <v>#VALUE!</v>
      </c>
      <c r="G489" s="927"/>
    </row>
  </sheetData>
  <sheetProtection algorithmName="SHA-512" hashValue="ZEHkQkLpeYw0hLEnKpNeEy07L/tv+QbjGkqOj/Fg1/1WiZBZuNI1KnCGNt2MRtUtXxet3ZItp8BgBkjmGqGMoQ==" saltValue="EpA+RfyMRvdewJo0doqUew==" spinCount="100000" sheet="1" objects="1" scenarios="1"/>
  <mergeCells count="22">
    <mergeCell ref="D3:E3"/>
    <mergeCell ref="D5:E5"/>
    <mergeCell ref="D6:E6"/>
    <mergeCell ref="L5:M5"/>
    <mergeCell ref="I6:J6"/>
    <mergeCell ref="L6:M6"/>
    <mergeCell ref="A1:F2"/>
    <mergeCell ref="G1:G7"/>
    <mergeCell ref="I1:N2"/>
    <mergeCell ref="O1:O7"/>
    <mergeCell ref="D7:E7"/>
    <mergeCell ref="A7:B7"/>
    <mergeCell ref="I7:J7"/>
    <mergeCell ref="L7:M7"/>
    <mergeCell ref="I3:J3"/>
    <mergeCell ref="L3:M3"/>
    <mergeCell ref="A6:B6"/>
    <mergeCell ref="A3:B3"/>
    <mergeCell ref="A4:B4"/>
    <mergeCell ref="I4:J4"/>
    <mergeCell ref="L4:M4"/>
    <mergeCell ref="D4:E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7</vt:i4>
      </vt:variant>
    </vt:vector>
  </HeadingPairs>
  <TitlesOfParts>
    <vt:vector size="35" baseType="lpstr">
      <vt:lpstr>Instructions</vt:lpstr>
      <vt:lpstr>Submission Requirements</vt:lpstr>
      <vt:lpstr>Transmittal</vt:lpstr>
      <vt:lpstr>Project Details</vt:lpstr>
      <vt:lpstr>Budget &amp; Costs</vt:lpstr>
      <vt:lpstr>Housing Credits</vt:lpstr>
      <vt:lpstr>Cashflow</vt:lpstr>
      <vt:lpstr>Development Team</vt:lpstr>
      <vt:lpstr>Experience&amp;Capacity</vt:lpstr>
      <vt:lpstr>Developer Fee</vt:lpstr>
      <vt:lpstr>Narratives</vt:lpstr>
      <vt:lpstr>Proposal Summary</vt:lpstr>
      <vt:lpstr>HDL+HDAP+MLP</vt:lpstr>
      <vt:lpstr>Multifamily Bonds</vt:lpstr>
      <vt:lpstr>Management Capacity </vt:lpstr>
      <vt:lpstr>Program Certification</vt:lpstr>
      <vt:lpstr>Scoring - NEW AFF BGF</vt:lpstr>
      <vt:lpstr>Scoring - PRES BGF</vt:lpstr>
      <vt:lpstr>Scoring - New Affordability-CC</vt:lpstr>
      <vt:lpstr>Scoring - New Affordability-MS</vt:lpstr>
      <vt:lpstr>Scoring - New Affordability-Rur</vt:lpstr>
      <vt:lpstr>Scoring - Preserved </vt:lpstr>
      <vt:lpstr>Service Enriched</vt:lpstr>
      <vt:lpstr>Unlocked#1</vt:lpstr>
      <vt:lpstr>Unlocked#2</vt:lpstr>
      <vt:lpstr>Data</vt:lpstr>
      <vt:lpstr>OHFADataExtract</vt:lpstr>
      <vt:lpstr>MLP Amortization</vt:lpstr>
      <vt:lpstr>'Housing Credits'!Print_Area</vt:lpstr>
      <vt:lpstr>Instructions!Print_Area</vt:lpstr>
      <vt:lpstr>'Management Capacity '!Print_Area</vt:lpstr>
      <vt:lpstr>'Multifamily Bonds'!Print_Area</vt:lpstr>
      <vt:lpstr>'Program Certification'!Print_Area</vt:lpstr>
      <vt:lpstr>'Scoring - NEW AFF BGF'!Print_Area</vt:lpstr>
      <vt:lpstr>'Scoring - PRES BGF'!Print_Area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OHFA</dc:creator>
  <cp:lastModifiedBy>Samantha Makoski</cp:lastModifiedBy>
  <cp:lastPrinted>2019-04-17T12:41:34Z</cp:lastPrinted>
  <dcterms:created xsi:type="dcterms:W3CDTF">2017-06-08T17:52:33Z</dcterms:created>
  <dcterms:modified xsi:type="dcterms:W3CDTF">2022-12-19T15:07:11Z</dcterms:modified>
</cp:coreProperties>
</file>